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i\Desktop\Mako\Šachy\ŠSPK KM\2023\Zpráva o činnosti KM ŠSPK za rok 2023\"/>
    </mc:Choice>
  </mc:AlternateContent>
  <bookViews>
    <workbookView xWindow="0" yWindow="0" windowWidth="23040" windowHeight="9192" tabRatio="891"/>
  </bookViews>
  <sheets>
    <sheet name="Plán vs. Realita 2023" sheetId="17" r:id="rId1"/>
    <sheet name="KTCM 2023" sheetId="18" r:id="rId2"/>
    <sheet name="online přednášky+sport+MV" sheetId="19" r:id="rId3"/>
    <sheet name="Rozpočet 2024" sheetId="20" r:id="rId4"/>
    <sheet name="Doplněk k rozpočtu (KTCM) 2024" sheetId="2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9" l="1"/>
  <c r="J22" i="19"/>
  <c r="J3" i="19"/>
  <c r="D33" i="19"/>
  <c r="D29" i="19"/>
  <c r="D30" i="19"/>
  <c r="D31" i="19"/>
  <c r="D32" i="19"/>
  <c r="D28" i="19"/>
  <c r="D22" i="19"/>
  <c r="D27" i="19" s="1"/>
  <c r="D23" i="19"/>
  <c r="D24" i="19"/>
  <c r="D25" i="19"/>
  <c r="D26" i="19"/>
  <c r="D4" i="19"/>
  <c r="D21" i="19" s="1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3" i="19"/>
  <c r="D14" i="20" l="1"/>
  <c r="D27" i="20"/>
  <c r="C19" i="21"/>
  <c r="C18" i="21"/>
  <c r="C17" i="21"/>
  <c r="C16" i="21"/>
  <c r="C15" i="21"/>
  <c r="C14" i="21"/>
  <c r="C13" i="21"/>
  <c r="C12" i="21"/>
  <c r="C11" i="21"/>
  <c r="C10" i="21"/>
  <c r="C9" i="21"/>
  <c r="C8" i="21"/>
  <c r="C6" i="21"/>
  <c r="C5" i="21"/>
  <c r="C4" i="21"/>
  <c r="C3" i="21" s="1"/>
  <c r="C22" i="21" s="1"/>
  <c r="D29" i="20"/>
  <c r="D4" i="20"/>
  <c r="D3" i="20" l="1"/>
  <c r="O12" i="18" l="1"/>
  <c r="O11" i="18"/>
  <c r="O10" i="18"/>
  <c r="Q10" i="18" s="1"/>
  <c r="O9" i="18"/>
  <c r="O8" i="18"/>
  <c r="O7" i="18"/>
  <c r="O6" i="18"/>
  <c r="N12" i="18"/>
  <c r="N11" i="18"/>
  <c r="N10" i="18"/>
  <c r="N9" i="18"/>
  <c r="N8" i="18"/>
  <c r="N7" i="18"/>
  <c r="N6" i="18"/>
  <c r="L12" i="18"/>
  <c r="L11" i="18"/>
  <c r="L10" i="18"/>
  <c r="L9" i="18"/>
  <c r="L8" i="18"/>
  <c r="L7" i="18"/>
  <c r="L6" i="18"/>
  <c r="Q14" i="18"/>
  <c r="Q13" i="18"/>
  <c r="P5" i="18"/>
  <c r="R15" i="18"/>
  <c r="L13" i="18"/>
  <c r="Q11" i="18"/>
  <c r="Q9" i="18"/>
  <c r="Q8" i="18"/>
  <c r="Q7" i="18"/>
  <c r="Q6" i="18"/>
  <c r="Q5" i="18"/>
  <c r="D21" i="18"/>
  <c r="I20" i="18"/>
  <c r="H20" i="18"/>
  <c r="G20" i="18"/>
  <c r="E20" i="18"/>
  <c r="D20" i="18"/>
  <c r="C20" i="18"/>
  <c r="D19" i="18"/>
  <c r="C19" i="18"/>
  <c r="I18" i="18"/>
  <c r="G18" i="18"/>
  <c r="E18" i="18"/>
  <c r="D18" i="18"/>
  <c r="C18" i="18"/>
  <c r="D17" i="18"/>
  <c r="H16" i="18"/>
  <c r="G16" i="18"/>
  <c r="E16" i="18"/>
  <c r="D16" i="18"/>
  <c r="C16" i="18"/>
  <c r="H15" i="18"/>
  <c r="C15" i="18"/>
  <c r="I14" i="18"/>
  <c r="H14" i="18"/>
  <c r="G14" i="18"/>
  <c r="F14" i="18"/>
  <c r="E14" i="18"/>
  <c r="D14" i="18"/>
  <c r="C14" i="18"/>
  <c r="Q12" i="18" l="1"/>
  <c r="L15" i="18"/>
  <c r="Q15" i="18"/>
  <c r="E38" i="17"/>
  <c r="E40" i="17"/>
  <c r="E27" i="17" l="1"/>
  <c r="E35" i="17" l="1"/>
  <c r="E4" i="17"/>
  <c r="E3" i="17" l="1"/>
  <c r="D35" i="17" l="1"/>
  <c r="D4" i="17"/>
  <c r="D27" i="17" l="1"/>
  <c r="D3" i="17" s="1"/>
</calcChain>
</file>

<file path=xl/sharedStrings.xml><?xml version="1.0" encoding="utf-8"?>
<sst xmlns="http://schemas.openxmlformats.org/spreadsheetml/2006/main" count="438" uniqueCount="211">
  <si>
    <t>Domažlice</t>
  </si>
  <si>
    <t>A</t>
  </si>
  <si>
    <t>B</t>
  </si>
  <si>
    <t>C</t>
  </si>
  <si>
    <t>ŠK 64 Plzeň</t>
  </si>
  <si>
    <t>KP juniorů</t>
  </si>
  <si>
    <t>Turnaj šachových nadějí 1</t>
  </si>
  <si>
    <t>Schválený rozpočet KM ŠSPK</t>
  </si>
  <si>
    <t>Krajské turnaje mládeže</t>
  </si>
  <si>
    <t>OP družstev škol v šachu - Plzeň (PS)</t>
  </si>
  <si>
    <t>OP družstev škol v šachu - Plzeň (PM,PJ,RO)</t>
  </si>
  <si>
    <t>OP družstev škol v šachu - Tachov</t>
  </si>
  <si>
    <t>OP družstev škol v šachu - Domažlice</t>
  </si>
  <si>
    <t>OP družstev škol v šachu - Klatovy</t>
  </si>
  <si>
    <t>KP družstev škol v šachu</t>
  </si>
  <si>
    <t>Medaile a poháry -  krajské soutěže</t>
  </si>
  <si>
    <t>příspěvek za uspořádání</t>
  </si>
  <si>
    <t>trenérská odměna</t>
  </si>
  <si>
    <t>cestovné trenérů</t>
  </si>
  <si>
    <t>ostatní náklady</t>
  </si>
  <si>
    <t>vybraný účastnický poplatek</t>
  </si>
  <si>
    <t>Podpora talentů (podle listiny talentů)</t>
  </si>
  <si>
    <t>D</t>
  </si>
  <si>
    <t>Dotace KTCM</t>
  </si>
  <si>
    <t>Dotace krajské</t>
  </si>
  <si>
    <t>Reálný rozpočet, komentáře</t>
  </si>
  <si>
    <t>obdrželi jsme vyšší dotaci</t>
  </si>
  <si>
    <t>Dary</t>
  </si>
  <si>
    <t>Velká cena Plzeňského kraje 1</t>
  </si>
  <si>
    <t>Velká cena Plzeňského kraje 2</t>
  </si>
  <si>
    <t>Velká cena Plzeňského kraje 3</t>
  </si>
  <si>
    <t>Velká cena Plzeňského kraje 4</t>
  </si>
  <si>
    <t>KP v rapid šachu mládeže</t>
  </si>
  <si>
    <t>KP družstev ml. žáků</t>
  </si>
  <si>
    <t>KP družstev st. žáků</t>
  </si>
  <si>
    <t>Tréninky mládeže (aneb KTCM 2023)</t>
  </si>
  <si>
    <t>ubytování + stravné trenérů</t>
  </si>
  <si>
    <t>Plzeňský kraj: Mezinárodní víkend (15 000 Kč)</t>
  </si>
  <si>
    <t>Město Plzeň: Online přednášky (18 000 Kč)</t>
  </si>
  <si>
    <t>Plzeňský kraj: Sport (20 000 Kč)</t>
  </si>
  <si>
    <t>KP jednotlivců do 10 let + MŠ</t>
  </si>
  <si>
    <t>KP jednotlivců do 16 let</t>
  </si>
  <si>
    <t>Turnaj šachových nadějí 2</t>
  </si>
  <si>
    <t>Turnaj šachových nadějí 3</t>
  </si>
  <si>
    <t>Turnaj šachových nadějí 4</t>
  </si>
  <si>
    <t>Klatovy</t>
  </si>
  <si>
    <t>2023/2024, Klatovy</t>
  </si>
  <si>
    <t>2022/2023, Klatovy</t>
  </si>
  <si>
    <t>2023/2024, Letná</t>
  </si>
  <si>
    <t>2022/2023, Letná</t>
  </si>
  <si>
    <t>2022/2023, Líně, poslední turnaj -&gt; +400 Kč</t>
  </si>
  <si>
    <t>2022/2023, Tachov</t>
  </si>
  <si>
    <t>2022/2023, Domažlice</t>
  </si>
  <si>
    <t>Nepomuk</t>
  </si>
  <si>
    <t>Kaznějov</t>
  </si>
  <si>
    <t>Tachov</t>
  </si>
  <si>
    <t>viz jiné položky v části D</t>
  </si>
  <si>
    <t>Plán 2023</t>
  </si>
  <si>
    <t>Realita 2023</t>
  </si>
  <si>
    <t>doplatek</t>
  </si>
  <si>
    <t>Letná, bez finančních cen</t>
  </si>
  <si>
    <t>byli jsme nuceni turnaje rozdělit, Klatovy</t>
  </si>
  <si>
    <t>místo</t>
  </si>
  <si>
    <t>Lubenec</t>
  </si>
  <si>
    <t>Hojsova Stráž</t>
  </si>
  <si>
    <t>Letná</t>
  </si>
  <si>
    <t>trenéři</t>
  </si>
  <si>
    <t>28.01.</t>
  </si>
  <si>
    <t>25.02.</t>
  </si>
  <si>
    <t>VS1</t>
  </si>
  <si>
    <t>VS2</t>
  </si>
  <si>
    <t>14.10.</t>
  </si>
  <si>
    <t>25.11.</t>
  </si>
  <si>
    <t>16.12.</t>
  </si>
  <si>
    <t>Hagarová</t>
  </si>
  <si>
    <t>Hurdzan</t>
  </si>
  <si>
    <t>Kopřiva</t>
  </si>
  <si>
    <t>Herejk (8 h) Nováček (8 h) Hurdzan (8h) Truksa (8h) König (4h)</t>
  </si>
  <si>
    <t>Neuman</t>
  </si>
  <si>
    <t>Petr</t>
  </si>
  <si>
    <t>Herejk</t>
  </si>
  <si>
    <t>Baláček</t>
  </si>
  <si>
    <t>Šott</t>
  </si>
  <si>
    <t>Hájek</t>
  </si>
  <si>
    <t>Simet</t>
  </si>
  <si>
    <t>Janouš</t>
  </si>
  <si>
    <t>Jenč</t>
  </si>
  <si>
    <t>Nováček</t>
  </si>
  <si>
    <t>Hrdlička</t>
  </si>
  <si>
    <t>P</t>
  </si>
  <si>
    <t>König</t>
  </si>
  <si>
    <t>peníze</t>
  </si>
  <si>
    <t>cesťáky</t>
  </si>
  <si>
    <t>ne</t>
  </si>
  <si>
    <t>Přehled KTCM</t>
  </si>
  <si>
    <t>uspořádání</t>
  </si>
  <si>
    <t>realita</t>
  </si>
  <si>
    <t>plán</t>
  </si>
  <si>
    <t>poplatek KTCM</t>
  </si>
  <si>
    <t>KTCM 1</t>
  </si>
  <si>
    <t>KTCM 2</t>
  </si>
  <si>
    <t>KTCM 3</t>
  </si>
  <si>
    <t>KTCM 4</t>
  </si>
  <si>
    <t>KTCM 5</t>
  </si>
  <si>
    <t>VS 1</t>
  </si>
  <si>
    <t>VS 2</t>
  </si>
  <si>
    <t>tábory</t>
  </si>
  <si>
    <t>koordinátor+plán</t>
  </si>
  <si>
    <t>celkem</t>
  </si>
  <si>
    <t>stravné + nocležné</t>
  </si>
  <si>
    <t>cestovné</t>
  </si>
  <si>
    <t>účast. poplatek</t>
  </si>
  <si>
    <t>–</t>
  </si>
  <si>
    <t>akce</t>
  </si>
  <si>
    <t>co</t>
  </si>
  <si>
    <t>termín</t>
  </si>
  <si>
    <t>stav</t>
  </si>
  <si>
    <t>vyplaceno</t>
  </si>
  <si>
    <t>Ostatní</t>
  </si>
  <si>
    <t>Návrh rozpočtu KM ŠSPK na rok 2023</t>
  </si>
  <si>
    <t>Komentář</t>
  </si>
  <si>
    <t>v případě, že se v sezóně 2024/2025 v období září - prosinec odehraje právě jedna Velká cena</t>
  </si>
  <si>
    <t>v případě, že se v sezóně 2024/2025 v období září - prosinec odehrají právě dva Turnaje šachových nadějí</t>
  </si>
  <si>
    <t xml:space="preserve">viz detailně další list. </t>
  </si>
  <si>
    <t>formou příspěvku na startovné na turnajích, na šachovou literaturu apod. (18 dětí, 500 Kč příspěvek)</t>
  </si>
  <si>
    <t>Příjmy</t>
  </si>
  <si>
    <t>fundovaný odhad</t>
  </si>
  <si>
    <t>Dotace krajské, sponzorské dary apod.</t>
  </si>
  <si>
    <t>E</t>
  </si>
  <si>
    <t>Další akce financované výhradně z dotací</t>
  </si>
  <si>
    <t>bonusové akce, jejichž rozpočet se pokryje výhradně z dotací k tomu určených</t>
  </si>
  <si>
    <t>4x Jednodenní soustředění č. 1 (3 skupiny)</t>
  </si>
  <si>
    <t>počítáno s 5 (2-1-2) hodinami tréninku pro každou skupinu, prostřední hodina určena na analýzy/dohrávky (tj. počet hodin nezměněn)</t>
  </si>
  <si>
    <t>á 650Kč/skupina, 2 skupiny naživo (třetí online se nepočítá)</t>
  </si>
  <si>
    <t>trenérská odměna (dle směrnic ŠSČR)</t>
  </si>
  <si>
    <t>na 1 soustředění: 1. trenér: 500 Kč na hodinu, 2. trenér 450 Kč na hodinu, 3. trenér 350 Kč na hodinu</t>
  </si>
  <si>
    <t>na 1 soustředění: 1x online, 1x místní trenér, 1x trenér ze vzdálenosti 50 km</t>
  </si>
  <si>
    <t>bez příspěvku</t>
  </si>
  <si>
    <t>kalkulováno s ročním poplatkem 300 Kč pro neúčastníky MČR do šestnácti let (cca 20 dětí)</t>
  </si>
  <si>
    <t>2x Víkendové soustředění (4 skupiny)</t>
  </si>
  <si>
    <t>počátáno s 9 hodinami tréninku, trenér navíc (každoročně hojná účast mezi dětmi nezařazenými do KTCM)</t>
  </si>
  <si>
    <t>á 1000 Kč/skupina</t>
  </si>
  <si>
    <t>1. trenér: 500 Kč na hodinu, 2. trenér 450 Kč na hodinu, 3. trenér 350 Kč na hodinu, 4. trenér 250 Kč na hodinu</t>
  </si>
  <si>
    <t>celková vzdálenost na 1 soustředění: 500 km</t>
  </si>
  <si>
    <t>na 1 soustředění: 4 trenéři, nocležné 300 Kč/den, jídlo 300 Kč/den</t>
  </si>
  <si>
    <t>kalkulováno s poplatkem 100/300 Kč na osobu při 20 platících dětech (100 pro děti z KTCM, 300 pro děti mimo KTCM, jen pro přítomné)</t>
  </si>
  <si>
    <t>2x letní týdenní tábor</t>
  </si>
  <si>
    <t>příspěvek pořadateli (děti z KTCM a listiny talentů nemají zvýhodnění oproti jiným dětem), akce v režii pořadatele</t>
  </si>
  <si>
    <t>1 tábor: příspěvek 3000 Kč</t>
  </si>
  <si>
    <t>3x letní příměstský pětidenní tábor</t>
  </si>
  <si>
    <t>1 přímětský tábor: příspěvek 1000 Kč</t>
  </si>
  <si>
    <t>Další výdaje spojené s projektem</t>
  </si>
  <si>
    <t>Odměna koordinátora projektu KTCM</t>
  </si>
  <si>
    <t>nebude-li určeno jinak</t>
  </si>
  <si>
    <t>odměna za vytvoření tréninkového plánu</t>
  </si>
  <si>
    <t>Celkem</t>
  </si>
  <si>
    <t>Projekt KTCM 2024</t>
  </si>
  <si>
    <t>Jiří Hájek</t>
  </si>
  <si>
    <t>DPP</t>
  </si>
  <si>
    <t>F</t>
  </si>
  <si>
    <t>Martin Kopřiva</t>
  </si>
  <si>
    <t>online přednáška</t>
  </si>
  <si>
    <t>vyplaceno (bez daně)</t>
  </si>
  <si>
    <t>1. online přednáška</t>
  </si>
  <si>
    <t>2. online přednáška</t>
  </si>
  <si>
    <t>3. online přednáška</t>
  </si>
  <si>
    <t>4. online přednáška</t>
  </si>
  <si>
    <t>5. online přednáška</t>
  </si>
  <si>
    <t>6. online přednáška</t>
  </si>
  <si>
    <t>7. online přednáška</t>
  </si>
  <si>
    <t>8. online přednáška</t>
  </si>
  <si>
    <t>9. online přednáška</t>
  </si>
  <si>
    <t>10. online přednáška</t>
  </si>
  <si>
    <t>11. online přednáška</t>
  </si>
  <si>
    <t>12. online přednáška</t>
  </si>
  <si>
    <t>13. online přednáška</t>
  </si>
  <si>
    <t>14. online přednáška</t>
  </si>
  <si>
    <t>15. online přednáška</t>
  </si>
  <si>
    <t>16. online přednáška</t>
  </si>
  <si>
    <t>17. online přednáška</t>
  </si>
  <si>
    <t>poznámka</t>
  </si>
  <si>
    <t>GM Robert Cvek</t>
  </si>
  <si>
    <t>FM Tomáš Hurdzan</t>
  </si>
  <si>
    <t>FM Martin Simet</t>
  </si>
  <si>
    <t>GM Petr Neuman</t>
  </si>
  <si>
    <t>GM Martin Petr</t>
  </si>
  <si>
    <t>FM Michal Novotný</t>
  </si>
  <si>
    <t>IM Jakub Půlpán</t>
  </si>
  <si>
    <t>celkem kolik (s daní)</t>
  </si>
  <si>
    <t>technické zajištění</t>
  </si>
  <si>
    <t>Michaela Nová</t>
  </si>
  <si>
    <t>daň</t>
  </si>
  <si>
    <t>FÚ</t>
  </si>
  <si>
    <t>odvedená daň</t>
  </si>
  <si>
    <t>MV</t>
  </si>
  <si>
    <t>simultánka</t>
  </si>
  <si>
    <t>historická přednáška</t>
  </si>
  <si>
    <t>přednáška v AJ</t>
  </si>
  <si>
    <t>DPP/F/daň</t>
  </si>
  <si>
    <t>ceny do turnajů</t>
  </si>
  <si>
    <t>medaile a poháry</t>
  </si>
  <si>
    <t>FM Jiří Soukup</t>
  </si>
  <si>
    <t>Sympakt</t>
  </si>
  <si>
    <t>Oradata</t>
  </si>
  <si>
    <t>sport</t>
  </si>
  <si>
    <t>doplatek za akce, dorovnání na nynější hodnotu (400 Kč, 200 Kč, 200 Kč)</t>
  </si>
  <si>
    <t>VC 1, TŠN 1 a TŠN 2 (rok 2023; sezóna 2023/2024)</t>
  </si>
  <si>
    <t>Jak to bylo v letech minulých…</t>
  </si>
  <si>
    <r>
      <t xml:space="preserve">již zajištěno alespoň </t>
    </r>
    <r>
      <rPr>
        <sz val="11"/>
        <rFont val="Arial"/>
        <family val="2"/>
        <charset val="238"/>
      </rPr>
      <t>5 000 Kč</t>
    </r>
  </si>
  <si>
    <t>proběhla v roce 2022 a proběhne v roce 2024</t>
  </si>
  <si>
    <r>
      <t xml:space="preserve">V roce 2021 jsme jako KM ŠSPK oproti plánu ušetřili </t>
    </r>
    <r>
      <rPr>
        <b/>
        <sz val="11"/>
        <rFont val="Arial"/>
        <family val="2"/>
        <charset val="238"/>
      </rPr>
      <t>14 510 Kč</t>
    </r>
    <r>
      <rPr>
        <sz val="11"/>
        <rFont val="Arial"/>
        <family val="2"/>
        <charset val="238"/>
      </rPr>
      <t xml:space="preserve"> (plán: -26 600 Kč, realita: -12 090 Kč), a to především "díky" covidu. Rok 2022: plán: -33 000 Kč, realita: -33 000 Kč. Rok 2023: plán: -42 000 Kč, realita: -29 246 Kč.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</si>
</sst>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4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6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6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8"/>
      </left>
      <right/>
      <top/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6" borderId="6" xfId="1" applyFont="1" applyFill="1" applyBorder="1" applyAlignment="1">
      <alignment vertical="center"/>
    </xf>
    <xf numFmtId="0" fontId="2" fillId="6" borderId="5" xfId="1" applyFont="1" applyFill="1" applyBorder="1" applyAlignment="1">
      <alignment horizontal="left" vertical="center" wrapText="1" indent="1"/>
    </xf>
    <xf numFmtId="0" fontId="5" fillId="0" borderId="9" xfId="0" applyFont="1" applyBorder="1" applyAlignment="1">
      <alignment horizontal="left" vertical="center" indent="1"/>
    </xf>
    <xf numFmtId="0" fontId="2" fillId="0" borderId="10" xfId="1" applyFont="1" applyBorder="1" applyAlignment="1">
      <alignment vertical="center"/>
    </xf>
    <xf numFmtId="0" fontId="2" fillId="0" borderId="9" xfId="1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indent="1"/>
    </xf>
    <xf numFmtId="0" fontId="2" fillId="0" borderId="18" xfId="1" applyFont="1" applyBorder="1" applyAlignment="1">
      <alignment vertical="center"/>
    </xf>
    <xf numFmtId="0" fontId="2" fillId="0" borderId="17" xfId="1" applyFont="1" applyBorder="1" applyAlignment="1">
      <alignment horizontal="left" vertical="center" indent="1"/>
    </xf>
    <xf numFmtId="0" fontId="5" fillId="0" borderId="19" xfId="0" applyFont="1" applyBorder="1" applyAlignment="1">
      <alignment horizontal="left" vertical="center" indent="1"/>
    </xf>
    <xf numFmtId="0" fontId="2" fillId="0" borderId="20" xfId="1" applyFont="1" applyBorder="1" applyAlignment="1">
      <alignment vertical="center"/>
    </xf>
    <xf numFmtId="0" fontId="4" fillId="6" borderId="6" xfId="1" applyFont="1" applyFill="1" applyBorder="1" applyAlignment="1">
      <alignment horizontal="left" vertical="center" indent="1"/>
    </xf>
    <xf numFmtId="164" fontId="3" fillId="6" borderId="5" xfId="1" applyNumberFormat="1" applyFont="1" applyFill="1" applyBorder="1" applyAlignment="1">
      <alignment horizontal="center" vertical="center"/>
    </xf>
    <xf numFmtId="0" fontId="2" fillId="6" borderId="5" xfId="1" applyFont="1" applyFill="1" applyBorder="1" applyAlignment="1">
      <alignment vertical="center"/>
    </xf>
    <xf numFmtId="164" fontId="6" fillId="0" borderId="15" xfId="1" applyNumberFormat="1" applyFont="1" applyBorder="1" applyAlignment="1">
      <alignment horizontal="right" vertical="center"/>
    </xf>
    <xf numFmtId="164" fontId="6" fillId="0" borderId="12" xfId="1" applyNumberFormat="1" applyFont="1" applyBorder="1" applyAlignment="1">
      <alignment horizontal="right" vertical="center"/>
    </xf>
    <xf numFmtId="164" fontId="6" fillId="0" borderId="11" xfId="1" applyNumberFormat="1" applyFont="1" applyBorder="1" applyAlignment="1">
      <alignment horizontal="right" vertical="center"/>
    </xf>
    <xf numFmtId="164" fontId="3" fillId="6" borderId="1" xfId="1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right" vertical="center"/>
    </xf>
    <xf numFmtId="164" fontId="2" fillId="0" borderId="12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0" fontId="4" fillId="6" borderId="1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indent="1"/>
    </xf>
    <xf numFmtId="164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4" fontId="2" fillId="0" borderId="20" xfId="1" applyNumberFormat="1" applyFont="1" applyBorder="1" applyAlignment="1">
      <alignment vertical="center"/>
    </xf>
    <xf numFmtId="164" fontId="2" fillId="0" borderId="10" xfId="1" applyNumberFormat="1" applyFont="1" applyBorder="1" applyAlignment="1">
      <alignment vertical="center"/>
    </xf>
    <xf numFmtId="164" fontId="2" fillId="0" borderId="18" xfId="1" applyNumberFormat="1" applyFont="1" applyBorder="1" applyAlignment="1">
      <alignment vertical="center"/>
    </xf>
    <xf numFmtId="164" fontId="3" fillId="4" borderId="7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4" fontId="11" fillId="0" borderId="23" xfId="0" applyNumberFormat="1" applyFont="1" applyBorder="1" applyAlignment="1">
      <alignment horizontal="center" vertical="center"/>
    </xf>
    <xf numFmtId="14" fontId="11" fillId="0" borderId="2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12" fillId="8" borderId="28" xfId="0" applyFont="1" applyFill="1" applyBorder="1" applyAlignment="1">
      <alignment horizontal="center" vertical="center"/>
    </xf>
    <xf numFmtId="0" fontId="0" fillId="8" borderId="30" xfId="0" applyFill="1" applyBorder="1" applyAlignment="1">
      <alignment horizontal="center" vertical="center"/>
    </xf>
    <xf numFmtId="0" fontId="12" fillId="8" borderId="32" xfId="0" applyFont="1" applyFill="1" applyBorder="1" applyAlignment="1">
      <alignment horizontal="center" vertical="center"/>
    </xf>
    <xf numFmtId="0" fontId="0" fillId="8" borderId="32" xfId="0" applyFill="1" applyBorder="1" applyAlignment="1">
      <alignment horizontal="center" vertical="center"/>
    </xf>
    <xf numFmtId="0" fontId="0" fillId="9" borderId="30" xfId="0" applyFill="1" applyBorder="1" applyAlignment="1">
      <alignment horizontal="center" vertical="center"/>
    </xf>
    <xf numFmtId="0" fontId="0" fillId="9" borderId="32" xfId="0" applyFill="1" applyBorder="1" applyAlignment="1">
      <alignment horizontal="center" vertical="center"/>
    </xf>
    <xf numFmtId="0" fontId="0" fillId="9" borderId="40" xfId="0" applyFill="1" applyBorder="1" applyAlignment="1">
      <alignment horizontal="center" vertical="center"/>
    </xf>
    <xf numFmtId="164" fontId="0" fillId="7" borderId="30" xfId="0" applyNumberFormat="1" applyFill="1" applyBorder="1" applyAlignment="1">
      <alignment horizontal="center" vertical="center"/>
    </xf>
    <xf numFmtId="164" fontId="12" fillId="0" borderId="32" xfId="0" applyNumberFormat="1" applyFont="1" applyFill="1" applyBorder="1" applyAlignment="1">
      <alignment horizontal="center" vertical="center"/>
    </xf>
    <xf numFmtId="164" fontId="0" fillId="2" borderId="32" xfId="0" applyNumberFormat="1" applyFill="1" applyBorder="1" applyAlignment="1">
      <alignment horizontal="center" vertical="center"/>
    </xf>
    <xf numFmtId="164" fontId="0" fillId="0" borderId="0" xfId="0" applyNumberFormat="1"/>
    <xf numFmtId="164" fontId="0" fillId="7" borderId="32" xfId="0" applyNumberFormat="1" applyFill="1" applyBorder="1" applyAlignment="1">
      <alignment horizontal="center" vertical="center"/>
    </xf>
    <xf numFmtId="164" fontId="0" fillId="7" borderId="40" xfId="0" applyNumberFormat="1" applyFill="1" applyBorder="1" applyAlignment="1">
      <alignment horizontal="center" vertical="center"/>
    </xf>
    <xf numFmtId="0" fontId="12" fillId="0" borderId="0" xfId="0" applyFont="1"/>
    <xf numFmtId="164" fontId="0" fillId="0" borderId="32" xfId="0" applyNumberFormat="1" applyFill="1" applyBorder="1" applyAlignment="1">
      <alignment horizontal="center" vertical="center"/>
    </xf>
    <xf numFmtId="164" fontId="0" fillId="2" borderId="40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164" fontId="0" fillId="3" borderId="36" xfId="0" applyNumberFormat="1" applyFill="1" applyBorder="1" applyAlignment="1">
      <alignment horizontal="center" vertical="center"/>
    </xf>
    <xf numFmtId="164" fontId="0" fillId="3" borderId="47" xfId="0" applyNumberFormat="1" applyFill="1" applyBorder="1"/>
    <xf numFmtId="164" fontId="0" fillId="3" borderId="34" xfId="0" applyNumberFormat="1" applyFill="1" applyBorder="1"/>
    <xf numFmtId="164" fontId="0" fillId="3" borderId="48" xfId="0" applyNumberFormat="1" applyFill="1" applyBorder="1"/>
    <xf numFmtId="0" fontId="0" fillId="7" borderId="25" xfId="0" applyFill="1" applyBorder="1" applyAlignment="1">
      <alignment horizontal="center" vertical="center"/>
    </xf>
    <xf numFmtId="164" fontId="0" fillId="7" borderId="37" xfId="0" applyNumberFormat="1" applyFill="1" applyBorder="1" applyAlignment="1">
      <alignment horizontal="center" vertical="center"/>
    </xf>
    <xf numFmtId="164" fontId="0" fillId="7" borderId="43" xfId="0" applyNumberFormat="1" applyFill="1" applyBorder="1" applyAlignment="1">
      <alignment horizontal="center" vertical="center"/>
    </xf>
    <xf numFmtId="164" fontId="0" fillId="7" borderId="38" xfId="0" applyNumberFormat="1" applyFill="1" applyBorder="1" applyAlignment="1">
      <alignment horizontal="center" vertical="center"/>
    </xf>
    <xf numFmtId="164" fontId="0" fillId="7" borderId="25" xfId="0" applyNumberFormat="1" applyFill="1" applyBorder="1"/>
    <xf numFmtId="0" fontId="0" fillId="0" borderId="0" xfId="0" applyAlignment="1">
      <alignment horizontal="center" vertical="center"/>
    </xf>
    <xf numFmtId="0" fontId="13" fillId="5" borderId="5" xfId="0" applyFont="1" applyFill="1" applyBorder="1" applyAlignment="1">
      <alignment horizontal="center" vertical="center" wrapText="1"/>
    </xf>
    <xf numFmtId="164" fontId="14" fillId="2" borderId="3" xfId="1" applyNumberFormat="1" applyFont="1" applyFill="1" applyBorder="1" applyAlignment="1">
      <alignment horizontal="center" vertical="center"/>
    </xf>
    <xf numFmtId="3" fontId="15" fillId="0" borderId="3" xfId="0" applyNumberFormat="1" applyFont="1" applyBorder="1" applyAlignment="1">
      <alignment horizontal="left" vertical="center" wrapText="1" indent="1"/>
    </xf>
    <xf numFmtId="0" fontId="4" fillId="6" borderId="45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left" vertical="center" indent="1"/>
    </xf>
    <xf numFmtId="164" fontId="3" fillId="6" borderId="10" xfId="1" applyNumberFormat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left" vertical="center" indent="1"/>
    </xf>
    <xf numFmtId="0" fontId="2" fillId="0" borderId="2" xfId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indent="1"/>
    </xf>
    <xf numFmtId="164" fontId="6" fillId="0" borderId="3" xfId="1" applyNumberFormat="1" applyFont="1" applyBorder="1" applyAlignment="1">
      <alignment horizontal="right" vertical="center"/>
    </xf>
    <xf numFmtId="0" fontId="2" fillId="0" borderId="7" xfId="1" applyFont="1" applyBorder="1" applyAlignment="1">
      <alignment horizontal="left" vertical="center" indent="1"/>
    </xf>
    <xf numFmtId="164" fontId="16" fillId="0" borderId="3" xfId="1" applyNumberFormat="1" applyFont="1" applyBorder="1" applyAlignment="1">
      <alignment horizontal="right" vertical="center"/>
    </xf>
    <xf numFmtId="164" fontId="6" fillId="0" borderId="20" xfId="1" applyNumberFormat="1" applyFont="1" applyBorder="1" applyAlignment="1">
      <alignment horizontal="right" vertical="center"/>
    </xf>
    <xf numFmtId="0" fontId="2" fillId="0" borderId="20" xfId="1" applyFont="1" applyBorder="1" applyAlignment="1">
      <alignment horizontal="left" vertical="center" indent="1"/>
    </xf>
    <xf numFmtId="0" fontId="2" fillId="0" borderId="3" xfId="1" applyFont="1" applyBorder="1" applyAlignment="1">
      <alignment horizontal="left" vertical="center" indent="1"/>
    </xf>
    <xf numFmtId="0" fontId="2" fillId="0" borderId="0" xfId="1" applyFont="1" applyBorder="1" applyAlignment="1">
      <alignment horizontal="left" vertical="center" indent="1"/>
    </xf>
    <xf numFmtId="0" fontId="2" fillId="6" borderId="10" xfId="1" applyFont="1" applyFill="1" applyBorder="1" applyAlignment="1">
      <alignment horizontal="left" vertical="center" wrapText="1" indent="1"/>
    </xf>
    <xf numFmtId="0" fontId="2" fillId="6" borderId="12" xfId="1" applyFont="1" applyFill="1" applyBorder="1" applyAlignment="1">
      <alignment horizontal="left" vertical="center" wrapText="1" indent="1"/>
    </xf>
    <xf numFmtId="0" fontId="2" fillId="0" borderId="3" xfId="1" applyFont="1" applyBorder="1" applyAlignment="1">
      <alignment horizontal="left" vertical="center" wrapText="1" indent="1"/>
    </xf>
    <xf numFmtId="0" fontId="4" fillId="6" borderId="46" xfId="1" applyFont="1" applyFill="1" applyBorder="1" applyAlignment="1">
      <alignment horizontal="center" vertical="center"/>
    </xf>
    <xf numFmtId="0" fontId="4" fillId="6" borderId="13" xfId="1" applyFont="1" applyFill="1" applyBorder="1" applyAlignment="1">
      <alignment horizontal="left" vertical="center" indent="1"/>
    </xf>
    <xf numFmtId="164" fontId="3" fillId="6" borderId="14" xfId="1" applyNumberFormat="1" applyFont="1" applyFill="1" applyBorder="1" applyAlignment="1">
      <alignment horizontal="center" vertical="center"/>
    </xf>
    <xf numFmtId="0" fontId="2" fillId="6" borderId="14" xfId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50" xfId="0" applyFont="1" applyFill="1" applyBorder="1" applyAlignment="1">
      <alignment horizontal="left" vertical="center" indent="2"/>
    </xf>
    <xf numFmtId="164" fontId="13" fillId="6" borderId="50" xfId="0" applyNumberFormat="1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left" vertical="center" indent="1"/>
    </xf>
    <xf numFmtId="0" fontId="5" fillId="0" borderId="51" xfId="0" applyFont="1" applyBorder="1" applyAlignment="1">
      <alignment horizontal="left" vertical="center" indent="2"/>
    </xf>
    <xf numFmtId="164" fontId="2" fillId="0" borderId="51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0" fontId="2" fillId="0" borderId="7" xfId="0" applyFont="1" applyBorder="1" applyAlignment="1">
      <alignment horizontal="left" vertical="center" indent="1"/>
    </xf>
    <xf numFmtId="0" fontId="13" fillId="6" borderId="52" xfId="0" applyFont="1" applyFill="1" applyBorder="1" applyAlignment="1">
      <alignment horizontal="left" vertical="center" indent="2"/>
    </xf>
    <xf numFmtId="164" fontId="13" fillId="6" borderId="52" xfId="0" applyNumberFormat="1" applyFont="1" applyFill="1" applyBorder="1" applyAlignment="1">
      <alignment horizontal="center" vertical="center"/>
    </xf>
    <xf numFmtId="0" fontId="2" fillId="6" borderId="53" xfId="0" applyFont="1" applyFill="1" applyBorder="1" applyAlignment="1">
      <alignment horizontal="left" vertical="center" indent="1"/>
    </xf>
    <xf numFmtId="0" fontId="2" fillId="0" borderId="54" xfId="0" applyFont="1" applyBorder="1" applyAlignment="1">
      <alignment horizontal="left" vertical="center" indent="1"/>
    </xf>
    <xf numFmtId="0" fontId="2" fillId="0" borderId="54" xfId="0" applyFont="1" applyFill="1" applyBorder="1" applyAlignment="1">
      <alignment horizontal="left" vertical="center" indent="1"/>
    </xf>
    <xf numFmtId="0" fontId="2" fillId="6" borderId="12" xfId="0" applyFont="1" applyFill="1" applyBorder="1" applyAlignment="1">
      <alignment horizontal="left" vertical="center" indent="1"/>
    </xf>
    <xf numFmtId="0" fontId="13" fillId="6" borderId="45" xfId="0" applyFont="1" applyFill="1" applyBorder="1" applyAlignment="1">
      <alignment horizontal="left" vertical="center" indent="2"/>
    </xf>
    <xf numFmtId="0" fontId="5" fillId="0" borderId="2" xfId="0" applyFont="1" applyBorder="1" applyAlignment="1">
      <alignment horizontal="left" vertical="center" indent="2"/>
    </xf>
    <xf numFmtId="0" fontId="13" fillId="6" borderId="55" xfId="0" applyFont="1" applyFill="1" applyBorder="1" applyAlignment="1">
      <alignment horizontal="center" vertical="center"/>
    </xf>
    <xf numFmtId="164" fontId="13" fillId="6" borderId="55" xfId="0" applyNumberFormat="1" applyFont="1" applyFill="1" applyBorder="1" applyAlignment="1">
      <alignment horizontal="center" vertical="center"/>
    </xf>
    <xf numFmtId="0" fontId="2" fillId="6" borderId="56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vertical="center"/>
    </xf>
    <xf numFmtId="0" fontId="2" fillId="0" borderId="57" xfId="1" applyFont="1" applyBorder="1" applyAlignment="1">
      <alignment horizontal="center" vertical="center"/>
    </xf>
    <xf numFmtId="0" fontId="2" fillId="0" borderId="58" xfId="1" applyFont="1" applyBorder="1" applyAlignment="1">
      <alignment horizontal="center" vertical="center"/>
    </xf>
    <xf numFmtId="0" fontId="2" fillId="0" borderId="19" xfId="1" applyFont="1" applyBorder="1" applyAlignment="1">
      <alignment horizontal="left" vertical="center" indent="1"/>
    </xf>
    <xf numFmtId="0" fontId="2" fillId="0" borderId="7" xfId="1" applyFont="1" applyBorder="1" applyAlignment="1">
      <alignment horizontal="left" vertical="center" wrapText="1" indent="1"/>
    </xf>
    <xf numFmtId="0" fontId="11" fillId="0" borderId="4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59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63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164" fontId="0" fillId="2" borderId="59" xfId="0" applyNumberFormat="1" applyFill="1" applyBorder="1" applyAlignment="1">
      <alignment horizontal="center" vertical="center"/>
    </xf>
    <xf numFmtId="14" fontId="0" fillId="2" borderId="59" xfId="0" applyNumberFormat="1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14" fontId="0" fillId="2" borderId="32" xfId="0" applyNumberFormat="1" applyFill="1" applyBorder="1" applyAlignment="1">
      <alignment horizontal="center" vertical="center"/>
    </xf>
    <xf numFmtId="0" fontId="0" fillId="2" borderId="60" xfId="0" applyFill="1" applyBorder="1" applyAlignment="1">
      <alignment horizontal="center" vertical="center"/>
    </xf>
    <xf numFmtId="14" fontId="0" fillId="2" borderId="40" xfId="0" applyNumberFormat="1" applyFill="1" applyBorder="1" applyAlignment="1">
      <alignment horizontal="center" vertical="center"/>
    </xf>
    <xf numFmtId="164" fontId="12" fillId="0" borderId="37" xfId="0" applyNumberFormat="1" applyFont="1" applyFill="1" applyBorder="1" applyAlignment="1">
      <alignment horizontal="center" vertical="center"/>
    </xf>
    <xf numFmtId="164" fontId="0" fillId="0" borderId="28" xfId="0" applyNumberFormat="1" applyFill="1" applyBorder="1" applyAlignment="1">
      <alignment horizontal="center" vertical="center"/>
    </xf>
    <xf numFmtId="164" fontId="12" fillId="7" borderId="32" xfId="0" applyNumberFormat="1" applyFont="1" applyFill="1" applyBorder="1" applyAlignment="1">
      <alignment horizontal="center" vertical="center"/>
    </xf>
    <xf numFmtId="164" fontId="12" fillId="7" borderId="28" xfId="0" applyNumberFormat="1" applyFont="1" applyFill="1" applyBorder="1" applyAlignment="1">
      <alignment horizontal="center" vertical="center"/>
    </xf>
    <xf numFmtId="164" fontId="0" fillId="0" borderId="26" xfId="0" applyNumberFormat="1" applyFill="1" applyBorder="1" applyAlignment="1">
      <alignment horizontal="center" vertical="center"/>
    </xf>
    <xf numFmtId="164" fontId="0" fillId="0" borderId="30" xfId="0" applyNumberFormat="1" applyFill="1" applyBorder="1" applyAlignment="1">
      <alignment horizontal="center" vertical="center"/>
    </xf>
    <xf numFmtId="164" fontId="0" fillId="0" borderId="43" xfId="0" applyNumberForma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164" fontId="0" fillId="0" borderId="44" xfId="0" applyNumberFormat="1" applyFill="1" applyBorder="1" applyAlignment="1">
      <alignment horizontal="center" vertical="center"/>
    </xf>
    <xf numFmtId="164" fontId="0" fillId="0" borderId="35" xfId="0" applyNumberFormat="1" applyFill="1" applyBorder="1" applyAlignment="1">
      <alignment horizontal="center" vertical="center"/>
    </xf>
    <xf numFmtId="164" fontId="0" fillId="0" borderId="38" xfId="0" applyNumberForma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/>
    </xf>
    <xf numFmtId="164" fontId="2" fillId="0" borderId="22" xfId="1" applyNumberFormat="1" applyFont="1" applyFill="1" applyBorder="1" applyAlignment="1">
      <alignment vertical="center"/>
    </xf>
    <xf numFmtId="164" fontId="2" fillId="0" borderId="16" xfId="1" applyNumberFormat="1" applyFont="1" applyFill="1" applyBorder="1" applyAlignment="1">
      <alignment vertical="center"/>
    </xf>
    <xf numFmtId="0" fontId="2" fillId="0" borderId="16" xfId="1" applyFont="1" applyFill="1" applyBorder="1" applyAlignment="1">
      <alignment horizontal="left" vertical="center" wrapText="1" indent="1"/>
    </xf>
    <xf numFmtId="0" fontId="2" fillId="0" borderId="12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vertical="center"/>
    </xf>
    <xf numFmtId="164" fontId="2" fillId="0" borderId="12" xfId="1" applyNumberFormat="1" applyFont="1" applyFill="1" applyBorder="1" applyAlignment="1">
      <alignment vertical="center"/>
    </xf>
    <xf numFmtId="164" fontId="2" fillId="0" borderId="10" xfId="1" applyNumberFormat="1" applyFont="1" applyFill="1" applyBorder="1" applyAlignment="1">
      <alignment vertical="center"/>
    </xf>
    <xf numFmtId="0" fontId="2" fillId="0" borderId="10" xfId="1" applyFont="1" applyFill="1" applyBorder="1" applyAlignment="1">
      <alignment horizontal="left" vertical="center" wrapText="1" indent="1"/>
    </xf>
    <xf numFmtId="0" fontId="2" fillId="0" borderId="21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vertical="center"/>
    </xf>
    <xf numFmtId="164" fontId="2" fillId="0" borderId="21" xfId="1" applyNumberFormat="1" applyFont="1" applyFill="1" applyBorder="1" applyAlignment="1">
      <alignment vertical="center"/>
    </xf>
    <xf numFmtId="164" fontId="2" fillId="0" borderId="14" xfId="1" applyNumberFormat="1" applyFont="1" applyFill="1" applyBorder="1" applyAlignment="1">
      <alignment vertical="center"/>
    </xf>
    <xf numFmtId="0" fontId="2" fillId="0" borderId="14" xfId="1" applyFont="1" applyFill="1" applyBorder="1" applyAlignment="1">
      <alignment horizontal="left" vertical="center" indent="1"/>
    </xf>
    <xf numFmtId="164" fontId="2" fillId="0" borderId="20" xfId="1" applyNumberFormat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/>
    </xf>
    <xf numFmtId="164" fontId="0" fillId="7" borderId="26" xfId="0" applyNumberForma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164" fontId="12" fillId="7" borderId="27" xfId="0" applyNumberFormat="1" applyFont="1" applyFill="1" applyBorder="1" applyAlignment="1">
      <alignment horizontal="center" vertical="center"/>
    </xf>
    <xf numFmtId="164" fontId="12" fillId="7" borderId="28" xfId="0" applyNumberFormat="1" applyFont="1" applyFill="1" applyBorder="1" applyAlignment="1">
      <alignment horizontal="center" vertical="center"/>
    </xf>
    <xf numFmtId="164" fontId="12" fillId="7" borderId="35" xfId="0" applyNumberFormat="1" applyFont="1" applyFill="1" applyBorder="1" applyAlignment="1">
      <alignment horizontal="center" vertical="center"/>
    </xf>
    <xf numFmtId="164" fontId="12" fillId="7" borderId="31" xfId="0" applyNumberFormat="1" applyFont="1" applyFill="1" applyBorder="1" applyAlignment="1">
      <alignment horizontal="center" vertical="center"/>
    </xf>
    <xf numFmtId="164" fontId="12" fillId="7" borderId="41" xfId="0" applyNumberFormat="1" applyFont="1" applyFill="1" applyBorder="1" applyAlignment="1">
      <alignment horizontal="center" vertical="center"/>
    </xf>
    <xf numFmtId="164" fontId="12" fillId="7" borderId="38" xfId="0" applyNumberFormat="1" applyFont="1" applyFill="1" applyBorder="1" applyAlignment="1">
      <alignment horizontal="center" vertical="center"/>
    </xf>
    <xf numFmtId="164" fontId="12" fillId="7" borderId="42" xfId="0" applyNumberFormat="1" applyFont="1" applyFill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12" fillId="0" borderId="46" xfId="0" applyNumberFormat="1" applyFont="1" applyFill="1" applyBorder="1" applyAlignment="1">
      <alignment horizontal="center" vertical="center"/>
    </xf>
    <xf numFmtId="164" fontId="12" fillId="0" borderId="13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164" fontId="12" fillId="7" borderId="29" xfId="0" applyNumberFormat="1" applyFont="1" applyFill="1" applyBorder="1" applyAlignment="1">
      <alignment horizontal="center" vertical="center"/>
    </xf>
    <xf numFmtId="164" fontId="12" fillId="7" borderId="33" xfId="0" applyNumberFormat="1" applyFont="1" applyFill="1" applyBorder="1" applyAlignment="1">
      <alignment horizontal="center" vertical="center"/>
    </xf>
    <xf numFmtId="164" fontId="12" fillId="7" borderId="37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7" borderId="34" xfId="0" applyNumberFormat="1" applyFill="1" applyBorder="1" applyAlignment="1">
      <alignment horizontal="center" vertical="center"/>
    </xf>
    <xf numFmtId="164" fontId="0" fillId="7" borderId="39" xfId="0" applyNumberFormat="1" applyFill="1" applyBorder="1" applyAlignment="1">
      <alignment horizontal="center" vertical="center"/>
    </xf>
    <xf numFmtId="164" fontId="0" fillId="7" borderId="35" xfId="0" applyNumberFormat="1" applyFill="1" applyBorder="1" applyAlignment="1">
      <alignment horizontal="center" vertical="center"/>
    </xf>
    <xf numFmtId="164" fontId="0" fillId="7" borderId="41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4" fontId="0" fillId="7" borderId="27" xfId="0" applyNumberFormat="1" applyFill="1" applyBorder="1" applyAlignment="1">
      <alignment horizontal="center" vertical="center"/>
    </xf>
    <xf numFmtId="164" fontId="0" fillId="7" borderId="28" xfId="0" applyNumberFormat="1" applyFill="1" applyBorder="1" applyAlignment="1">
      <alignment horizontal="center" vertical="center"/>
    </xf>
    <xf numFmtId="164" fontId="0" fillId="7" borderId="31" xfId="0" applyNumberFormat="1" applyFill="1" applyBorder="1" applyAlignment="1">
      <alignment horizontal="center" vertical="center"/>
    </xf>
    <xf numFmtId="164" fontId="0" fillId="7" borderId="36" xfId="0" applyNumberFormat="1" applyFill="1" applyBorder="1" applyAlignment="1">
      <alignment horizontal="center" vertical="center"/>
    </xf>
    <xf numFmtId="0" fontId="0" fillId="9" borderId="34" xfId="0" applyFill="1" applyBorder="1" applyAlignment="1">
      <alignment horizontal="center" vertical="center"/>
    </xf>
    <xf numFmtId="0" fontId="0" fillId="9" borderId="39" xfId="0" applyFill="1" applyBorder="1" applyAlignment="1">
      <alignment horizontal="center" vertical="center"/>
    </xf>
    <xf numFmtId="0" fontId="0" fillId="9" borderId="3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/>
    </xf>
    <xf numFmtId="0" fontId="12" fillId="9" borderId="41" xfId="0" applyFont="1" applyFill="1" applyBorder="1" applyAlignment="1">
      <alignment horizontal="center" vertical="center"/>
    </xf>
    <xf numFmtId="0" fontId="12" fillId="8" borderId="35" xfId="0" applyFont="1" applyFill="1" applyBorder="1" applyAlignment="1">
      <alignment horizontal="center" vertical="center"/>
    </xf>
    <xf numFmtId="0" fontId="12" fillId="8" borderId="31" xfId="0" applyFont="1" applyFill="1" applyBorder="1" applyAlignment="1">
      <alignment horizontal="center" vertical="center"/>
    </xf>
    <xf numFmtId="0" fontId="12" fillId="8" borderId="28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12" fillId="9" borderId="38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12" fillId="9" borderId="29" xfId="0" applyFont="1" applyFill="1" applyBorder="1" applyAlignment="1">
      <alignment horizontal="center" vertical="center"/>
    </xf>
    <xf numFmtId="0" fontId="12" fillId="9" borderId="33" xfId="0" applyFont="1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 wrapText="1"/>
    </xf>
    <xf numFmtId="0" fontId="0" fillId="9" borderId="31" xfId="0" applyFill="1" applyBorder="1" applyAlignment="1">
      <alignment horizontal="center" vertical="center" wrapText="1"/>
    </xf>
    <xf numFmtId="0" fontId="0" fillId="9" borderId="41" xfId="0" applyFill="1" applyBorder="1" applyAlignment="1">
      <alignment horizontal="center" vertical="center" wrapText="1"/>
    </xf>
    <xf numFmtId="0" fontId="0" fillId="9" borderId="36" xfId="0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/>
    </xf>
    <xf numFmtId="164" fontId="19" fillId="4" borderId="64" xfId="0" applyNumberFormat="1" applyFont="1" applyFill="1" applyBorder="1" applyAlignment="1">
      <alignment horizontal="center" vertical="center"/>
    </xf>
    <xf numFmtId="164" fontId="19" fillId="4" borderId="7" xfId="0" applyNumberFormat="1" applyFont="1" applyFill="1" applyBorder="1" applyAlignment="1">
      <alignment horizontal="center" vertical="center"/>
    </xf>
    <xf numFmtId="164" fontId="19" fillId="4" borderId="65" xfId="0" applyNumberFormat="1" applyFont="1" applyFill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5" fillId="6" borderId="4" xfId="1" applyFont="1" applyFill="1" applyBorder="1" applyAlignment="1">
      <alignment horizontal="center" vertical="center" wrapText="1"/>
    </xf>
    <xf numFmtId="0" fontId="5" fillId="6" borderId="6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3" fillId="0" borderId="49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11" xfId="1" applyFont="1" applyBorder="1" applyAlignment="1">
      <alignment horizontal="left" vertical="center" wrapText="1" indent="1"/>
    </xf>
    <xf numFmtId="0" fontId="2" fillId="0" borderId="7" xfId="1" applyFont="1" applyBorder="1" applyAlignment="1">
      <alignment horizontal="left" vertical="center" wrapText="1" indent="1"/>
    </xf>
    <xf numFmtId="0" fontId="2" fillId="0" borderId="7" xfId="1" applyFont="1" applyBorder="1" applyAlignment="1">
      <alignment horizontal="left" vertical="center" indent="1"/>
    </xf>
    <xf numFmtId="0" fontId="18" fillId="0" borderId="4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2"/>
  <sheetViews>
    <sheetView tabSelected="1" workbookViewId="0"/>
  </sheetViews>
  <sheetFormatPr defaultColWidth="9.109375" defaultRowHeight="13.8" x14ac:dyDescent="0.3"/>
  <cols>
    <col min="1" max="1" width="9.109375" style="2"/>
    <col min="2" max="2" width="5.44140625" style="1" customWidth="1"/>
    <col min="3" max="3" width="50.109375" style="2" customWidth="1"/>
    <col min="4" max="5" width="16.6640625" style="2" customWidth="1"/>
    <col min="6" max="6" width="58.88671875" style="2" customWidth="1"/>
    <col min="7" max="16384" width="9.109375" style="2"/>
  </cols>
  <sheetData>
    <row r="1" spans="2:6" ht="14.4" thickBot="1" x14ac:dyDescent="0.35"/>
    <row r="2" spans="2:6" ht="37.5" customHeight="1" thickBot="1" x14ac:dyDescent="0.35">
      <c r="B2" s="177" t="s">
        <v>57</v>
      </c>
      <c r="C2" s="179"/>
      <c r="D2" s="178"/>
      <c r="E2" s="177" t="s">
        <v>58</v>
      </c>
      <c r="F2" s="178"/>
    </row>
    <row r="3" spans="2:6" ht="24" customHeight="1" thickBot="1" x14ac:dyDescent="0.35">
      <c r="B3" s="180" t="s">
        <v>7</v>
      </c>
      <c r="C3" s="181"/>
      <c r="D3" s="39">
        <f>D4+D27+D34+D35</f>
        <v>-42000</v>
      </c>
      <c r="E3" s="40">
        <f>E4+E27+E34+E35</f>
        <v>-29246</v>
      </c>
      <c r="F3" s="35" t="s">
        <v>25</v>
      </c>
    </row>
    <row r="4" spans="2:6" ht="21" customHeight="1" thickBot="1" x14ac:dyDescent="0.35">
      <c r="B4" s="26" t="s">
        <v>1</v>
      </c>
      <c r="C4" s="6" t="s">
        <v>8</v>
      </c>
      <c r="D4" s="22">
        <f>SUM(D5:D26)</f>
        <v>-26900</v>
      </c>
      <c r="E4" s="22">
        <f>SUM(E5:E26)</f>
        <v>-21000</v>
      </c>
      <c r="F4" s="7"/>
    </row>
    <row r="5" spans="2:6" ht="16.5" customHeight="1" x14ac:dyDescent="0.3">
      <c r="B5" s="27"/>
      <c r="C5" s="14" t="s">
        <v>28</v>
      </c>
      <c r="D5" s="19">
        <v>-1000</v>
      </c>
      <c r="E5" s="174">
        <v>-1000</v>
      </c>
      <c r="F5" s="15" t="s">
        <v>48</v>
      </c>
    </row>
    <row r="6" spans="2:6" ht="16.5" customHeight="1" x14ac:dyDescent="0.3">
      <c r="B6" s="28"/>
      <c r="C6" s="8" t="s">
        <v>29</v>
      </c>
      <c r="D6" s="20">
        <v>-1000</v>
      </c>
      <c r="E6" s="167">
        <v>0</v>
      </c>
      <c r="F6" s="9" t="s">
        <v>209</v>
      </c>
    </row>
    <row r="7" spans="2:6" ht="16.5" customHeight="1" x14ac:dyDescent="0.3">
      <c r="B7" s="28"/>
      <c r="C7" s="8" t="s">
        <v>30</v>
      </c>
      <c r="D7" s="20">
        <v>-1000</v>
      </c>
      <c r="E7" s="167">
        <v>-1000</v>
      </c>
      <c r="F7" s="9" t="s">
        <v>51</v>
      </c>
    </row>
    <row r="8" spans="2:6" ht="16.5" customHeight="1" x14ac:dyDescent="0.3">
      <c r="B8" s="28"/>
      <c r="C8" s="8" t="s">
        <v>31</v>
      </c>
      <c r="D8" s="20">
        <v>-1000</v>
      </c>
      <c r="E8" s="167">
        <v>-1000</v>
      </c>
      <c r="F8" s="9" t="s">
        <v>52</v>
      </c>
    </row>
    <row r="9" spans="2:6" ht="16.5" customHeight="1" x14ac:dyDescent="0.3">
      <c r="B9" s="28"/>
      <c r="C9" s="8" t="s">
        <v>32</v>
      </c>
      <c r="D9" s="20">
        <v>-1000</v>
      </c>
      <c r="E9" s="167">
        <v>-1000</v>
      </c>
      <c r="F9" s="9" t="s">
        <v>45</v>
      </c>
    </row>
    <row r="10" spans="2:6" ht="16.5" customHeight="1" x14ac:dyDescent="0.3">
      <c r="B10" s="28"/>
      <c r="C10" s="8" t="s">
        <v>6</v>
      </c>
      <c r="D10" s="20">
        <v>-700</v>
      </c>
      <c r="E10" s="167">
        <v>-700</v>
      </c>
      <c r="F10" s="9" t="s">
        <v>46</v>
      </c>
    </row>
    <row r="11" spans="2:6" ht="16.5" customHeight="1" x14ac:dyDescent="0.3">
      <c r="B11" s="28"/>
      <c r="C11" s="8" t="s">
        <v>42</v>
      </c>
      <c r="D11" s="20">
        <v>-700</v>
      </c>
      <c r="E11" s="167">
        <v>-700</v>
      </c>
      <c r="F11" s="9" t="s">
        <v>47</v>
      </c>
    </row>
    <row r="12" spans="2:6" ht="16.5" customHeight="1" x14ac:dyDescent="0.3">
      <c r="B12" s="28"/>
      <c r="C12" s="8" t="s">
        <v>42</v>
      </c>
      <c r="D12" s="20">
        <v>0</v>
      </c>
      <c r="E12" s="167">
        <v>-700</v>
      </c>
      <c r="F12" s="9" t="s">
        <v>48</v>
      </c>
    </row>
    <row r="13" spans="2:6" ht="16.5" customHeight="1" x14ac:dyDescent="0.3">
      <c r="B13" s="28"/>
      <c r="C13" s="8" t="s">
        <v>43</v>
      </c>
      <c r="D13" s="20">
        <v>-700</v>
      </c>
      <c r="E13" s="167">
        <v>-700</v>
      </c>
      <c r="F13" s="9" t="s">
        <v>49</v>
      </c>
    </row>
    <row r="14" spans="2:6" ht="16.5" customHeight="1" x14ac:dyDescent="0.3">
      <c r="B14" s="28"/>
      <c r="C14" s="8" t="s">
        <v>44</v>
      </c>
      <c r="D14" s="20">
        <v>-700</v>
      </c>
      <c r="E14" s="167">
        <v>-1100</v>
      </c>
      <c r="F14" s="9" t="s">
        <v>50</v>
      </c>
    </row>
    <row r="15" spans="2:6" ht="16.5" customHeight="1" x14ac:dyDescent="0.3">
      <c r="B15" s="28"/>
      <c r="C15" s="8" t="s">
        <v>33</v>
      </c>
      <c r="D15" s="20">
        <v>-1200</v>
      </c>
      <c r="E15" s="167">
        <v>-1200</v>
      </c>
      <c r="F15" s="9" t="s">
        <v>4</v>
      </c>
    </row>
    <row r="16" spans="2:6" ht="16.5" customHeight="1" x14ac:dyDescent="0.3">
      <c r="B16" s="28"/>
      <c r="C16" s="8" t="s">
        <v>34</v>
      </c>
      <c r="D16" s="20">
        <v>-1200</v>
      </c>
      <c r="E16" s="167">
        <v>-1200</v>
      </c>
      <c r="F16" s="9" t="s">
        <v>0</v>
      </c>
    </row>
    <row r="17" spans="2:6" ht="16.5" customHeight="1" x14ac:dyDescent="0.3">
      <c r="B17" s="28"/>
      <c r="C17" s="8" t="s">
        <v>41</v>
      </c>
      <c r="D17" s="20">
        <v>-2000</v>
      </c>
      <c r="E17" s="167">
        <v>-2000</v>
      </c>
      <c r="F17" s="9" t="s">
        <v>53</v>
      </c>
    </row>
    <row r="18" spans="2:6" ht="16.5" customHeight="1" x14ac:dyDescent="0.3">
      <c r="B18" s="28"/>
      <c r="C18" s="8" t="s">
        <v>40</v>
      </c>
      <c r="D18" s="20">
        <v>0</v>
      </c>
      <c r="E18" s="167">
        <v>-1000</v>
      </c>
      <c r="F18" s="9" t="s">
        <v>61</v>
      </c>
    </row>
    <row r="19" spans="2:6" ht="16.5" customHeight="1" x14ac:dyDescent="0.3">
      <c r="B19" s="28"/>
      <c r="C19" s="8" t="s">
        <v>5</v>
      </c>
      <c r="D19" s="20">
        <v>-3000</v>
      </c>
      <c r="E19" s="167">
        <v>-2000</v>
      </c>
      <c r="F19" s="9" t="s">
        <v>60</v>
      </c>
    </row>
    <row r="20" spans="2:6" ht="16.5" customHeight="1" x14ac:dyDescent="0.3">
      <c r="B20" s="28"/>
      <c r="C20" s="10" t="s">
        <v>9</v>
      </c>
      <c r="D20" s="20">
        <v>-600</v>
      </c>
      <c r="E20" s="167">
        <v>-600</v>
      </c>
      <c r="F20" s="9" t="s">
        <v>54</v>
      </c>
    </row>
    <row r="21" spans="2:6" ht="16.5" customHeight="1" x14ac:dyDescent="0.3">
      <c r="B21" s="28"/>
      <c r="C21" s="10" t="s">
        <v>10</v>
      </c>
      <c r="D21" s="20">
        <v>-1800</v>
      </c>
      <c r="E21" s="167">
        <v>-1800</v>
      </c>
      <c r="F21" s="9" t="s">
        <v>4</v>
      </c>
    </row>
    <row r="22" spans="2:6" ht="16.5" customHeight="1" x14ac:dyDescent="0.3">
      <c r="B22" s="28"/>
      <c r="C22" s="10" t="s">
        <v>11</v>
      </c>
      <c r="D22" s="20">
        <v>-600</v>
      </c>
      <c r="E22" s="167">
        <v>-600</v>
      </c>
      <c r="F22" s="9" t="s">
        <v>55</v>
      </c>
    </row>
    <row r="23" spans="2:6" ht="16.5" customHeight="1" x14ac:dyDescent="0.3">
      <c r="B23" s="28"/>
      <c r="C23" s="8" t="s">
        <v>12</v>
      </c>
      <c r="D23" s="20">
        <v>-600</v>
      </c>
      <c r="E23" s="167">
        <v>-600</v>
      </c>
      <c r="F23" s="9" t="s">
        <v>0</v>
      </c>
    </row>
    <row r="24" spans="2:6" ht="16.5" customHeight="1" x14ac:dyDescent="0.3">
      <c r="B24" s="28"/>
      <c r="C24" s="8" t="s">
        <v>13</v>
      </c>
      <c r="D24" s="20">
        <v>-600</v>
      </c>
      <c r="E24" s="167">
        <v>-600</v>
      </c>
      <c r="F24" s="9" t="s">
        <v>45</v>
      </c>
    </row>
    <row r="25" spans="2:6" ht="16.5" customHeight="1" x14ac:dyDescent="0.3">
      <c r="B25" s="28"/>
      <c r="C25" s="8" t="s">
        <v>14</v>
      </c>
      <c r="D25" s="20">
        <v>-1500</v>
      </c>
      <c r="E25" s="167">
        <v>-1500</v>
      </c>
      <c r="F25" s="9" t="s">
        <v>4</v>
      </c>
    </row>
    <row r="26" spans="2:6" ht="16.5" customHeight="1" thickBot="1" x14ac:dyDescent="0.35">
      <c r="B26" s="29"/>
      <c r="C26" s="13" t="s">
        <v>15</v>
      </c>
      <c r="D26" s="21">
        <v>-6000</v>
      </c>
      <c r="E26" s="175">
        <v>0</v>
      </c>
      <c r="F26" s="12" t="s">
        <v>56</v>
      </c>
    </row>
    <row r="27" spans="2:6" ht="21" customHeight="1" thickBot="1" x14ac:dyDescent="0.35">
      <c r="B27" s="26" t="s">
        <v>2</v>
      </c>
      <c r="C27" s="16" t="s">
        <v>35</v>
      </c>
      <c r="D27" s="22">
        <f>SUM(D28:D33)</f>
        <v>-81100</v>
      </c>
      <c r="E27" s="17">
        <f>SUM(E28:E33)</f>
        <v>-72784</v>
      </c>
      <c r="F27" s="18"/>
    </row>
    <row r="28" spans="2:6" ht="16.5" customHeight="1" x14ac:dyDescent="0.3">
      <c r="B28" s="27"/>
      <c r="C28" s="14" t="s">
        <v>16</v>
      </c>
      <c r="D28" s="23">
        <v>-22900</v>
      </c>
      <c r="E28" s="36">
        <v>-21900</v>
      </c>
      <c r="F28" s="15"/>
    </row>
    <row r="29" spans="2:6" ht="16.5" customHeight="1" x14ac:dyDescent="0.3">
      <c r="B29" s="28"/>
      <c r="C29" s="8" t="s">
        <v>17</v>
      </c>
      <c r="D29" s="24">
        <v>-58900</v>
      </c>
      <c r="E29" s="37">
        <v>-49210</v>
      </c>
      <c r="F29" s="9"/>
    </row>
    <row r="30" spans="2:6" ht="16.5" customHeight="1" x14ac:dyDescent="0.3">
      <c r="B30" s="28"/>
      <c r="C30" s="8" t="s">
        <v>18</v>
      </c>
      <c r="D30" s="24">
        <v>-6300</v>
      </c>
      <c r="E30" s="37">
        <v>-5184</v>
      </c>
      <c r="F30" s="9"/>
    </row>
    <row r="31" spans="2:6" ht="16.5" customHeight="1" x14ac:dyDescent="0.3">
      <c r="B31" s="28"/>
      <c r="C31" s="8" t="s">
        <v>36</v>
      </c>
      <c r="D31" s="24">
        <v>-8000</v>
      </c>
      <c r="E31" s="37">
        <v>-9200</v>
      </c>
      <c r="F31" s="9"/>
    </row>
    <row r="32" spans="2:6" ht="16.5" customHeight="1" x14ac:dyDescent="0.3">
      <c r="B32" s="28"/>
      <c r="C32" s="8" t="s">
        <v>19</v>
      </c>
      <c r="D32" s="24">
        <v>-6000</v>
      </c>
      <c r="E32" s="37">
        <v>-5000</v>
      </c>
      <c r="F32" s="9"/>
    </row>
    <row r="33" spans="2:7" ht="16.5" customHeight="1" thickBot="1" x14ac:dyDescent="0.35">
      <c r="B33" s="29"/>
      <c r="C33" s="11" t="s">
        <v>20</v>
      </c>
      <c r="D33" s="25">
        <v>21000</v>
      </c>
      <c r="E33" s="38">
        <v>17710</v>
      </c>
      <c r="F33" s="12"/>
    </row>
    <row r="34" spans="2:7" ht="21" customHeight="1" thickBot="1" x14ac:dyDescent="0.35">
      <c r="B34" s="26" t="s">
        <v>3</v>
      </c>
      <c r="C34" s="16" t="s">
        <v>21</v>
      </c>
      <c r="D34" s="22">
        <v>-9000</v>
      </c>
      <c r="E34" s="17">
        <v>-9000</v>
      </c>
      <c r="F34" s="18"/>
    </row>
    <row r="35" spans="2:7" ht="21" customHeight="1" thickBot="1" x14ac:dyDescent="0.35">
      <c r="B35" s="26" t="s">
        <v>22</v>
      </c>
      <c r="C35" s="16" t="s">
        <v>118</v>
      </c>
      <c r="D35" s="22">
        <f>SUM(D36:D41)</f>
        <v>75000</v>
      </c>
      <c r="E35" s="17">
        <f>SUM(E36:E41)</f>
        <v>73538</v>
      </c>
      <c r="F35" s="18"/>
    </row>
    <row r="36" spans="2:7" s="30" customFormat="1" ht="16.2" customHeight="1" x14ac:dyDescent="0.3">
      <c r="B36" s="159"/>
      <c r="C36" s="160" t="s">
        <v>23</v>
      </c>
      <c r="D36" s="161">
        <v>55000</v>
      </c>
      <c r="E36" s="162">
        <v>67785</v>
      </c>
      <c r="F36" s="163" t="s">
        <v>26</v>
      </c>
    </row>
    <row r="37" spans="2:7" s="30" customFormat="1" ht="16.2" customHeight="1" x14ac:dyDescent="0.3">
      <c r="B37" s="164"/>
      <c r="C37" s="165" t="s">
        <v>24</v>
      </c>
      <c r="D37" s="166">
        <v>20000</v>
      </c>
      <c r="E37" s="167">
        <v>0</v>
      </c>
      <c r="F37" s="168"/>
    </row>
    <row r="38" spans="2:7" s="30" customFormat="1" ht="16.2" customHeight="1" x14ac:dyDescent="0.3">
      <c r="B38" s="164"/>
      <c r="C38" s="165" t="s">
        <v>37</v>
      </c>
      <c r="D38" s="166">
        <v>0</v>
      </c>
      <c r="E38" s="167">
        <f>15000-2000-2000-2000-2570-6494</f>
        <v>-64</v>
      </c>
      <c r="F38" s="168" t="s">
        <v>59</v>
      </c>
    </row>
    <row r="39" spans="2:7" s="30" customFormat="1" ht="16.2" customHeight="1" x14ac:dyDescent="0.3">
      <c r="B39" s="164"/>
      <c r="C39" s="165" t="s">
        <v>38</v>
      </c>
      <c r="D39" s="166">
        <v>0</v>
      </c>
      <c r="E39" s="167">
        <v>-24</v>
      </c>
      <c r="F39" s="168" t="s">
        <v>59</v>
      </c>
    </row>
    <row r="40" spans="2:7" s="30" customFormat="1" ht="16.2" customHeight="1" x14ac:dyDescent="0.3">
      <c r="B40" s="164"/>
      <c r="C40" s="165" t="s">
        <v>39</v>
      </c>
      <c r="D40" s="166">
        <v>0</v>
      </c>
      <c r="E40" s="167">
        <f>20000-3165-2046-1914-3408-1620-8006</f>
        <v>-159</v>
      </c>
      <c r="F40" s="168" t="s">
        <v>59</v>
      </c>
    </row>
    <row r="41" spans="2:7" s="30" customFormat="1" ht="16.2" customHeight="1" thickBot="1" x14ac:dyDescent="0.35">
      <c r="B41" s="169"/>
      <c r="C41" s="170" t="s">
        <v>27</v>
      </c>
      <c r="D41" s="171">
        <v>0</v>
      </c>
      <c r="E41" s="172">
        <v>6000</v>
      </c>
      <c r="F41" s="173"/>
    </row>
    <row r="42" spans="2:7" s="30" customFormat="1" ht="16.2" customHeight="1" x14ac:dyDescent="0.3">
      <c r="B42" s="31"/>
      <c r="C42" s="32"/>
      <c r="D42" s="33"/>
      <c r="E42" s="34"/>
      <c r="F42" s="34"/>
    </row>
    <row r="43" spans="2:7" ht="15" customHeight="1" x14ac:dyDescent="0.3">
      <c r="D43" s="30"/>
      <c r="E43" s="30"/>
      <c r="G43" s="3"/>
    </row>
    <row r="44" spans="2:7" ht="15" customHeight="1" x14ac:dyDescent="0.3">
      <c r="D44" s="30"/>
      <c r="E44" s="30"/>
      <c r="G44" s="3"/>
    </row>
    <row r="45" spans="2:7" s="4" customFormat="1" ht="15" customHeight="1" x14ac:dyDescent="0.3">
      <c r="B45" s="1"/>
      <c r="C45" s="2"/>
      <c r="D45" s="30"/>
      <c r="E45" s="30"/>
      <c r="F45" s="2"/>
    </row>
    <row r="46" spans="2:7" ht="15" customHeight="1" x14ac:dyDescent="0.3">
      <c r="D46" s="30"/>
      <c r="E46" s="30"/>
    </row>
    <row r="47" spans="2:7" ht="15" customHeight="1" x14ac:dyDescent="0.3">
      <c r="D47" s="30"/>
      <c r="E47" s="30"/>
    </row>
    <row r="48" spans="2:7" s="4" customFormat="1" ht="15" customHeight="1" x14ac:dyDescent="0.3">
      <c r="B48" s="1"/>
      <c r="C48" s="2"/>
      <c r="D48" s="30"/>
      <c r="E48" s="30"/>
      <c r="F48" s="2"/>
    </row>
    <row r="49" spans="2:7" ht="15" customHeight="1" x14ac:dyDescent="0.3"/>
    <row r="50" spans="2:7" ht="15" customHeight="1" x14ac:dyDescent="0.3"/>
    <row r="51" spans="2:7" ht="15" customHeight="1" x14ac:dyDescent="0.3"/>
    <row r="52" spans="2:7" ht="15" customHeight="1" x14ac:dyDescent="0.3"/>
    <row r="53" spans="2:7" ht="15" customHeight="1" x14ac:dyDescent="0.3"/>
    <row r="54" spans="2:7" s="4" customFormat="1" ht="15" customHeight="1" x14ac:dyDescent="0.3">
      <c r="B54" s="1"/>
      <c r="C54" s="2"/>
      <c r="D54" s="2"/>
      <c r="E54" s="2"/>
      <c r="F54" s="2"/>
    </row>
    <row r="55" spans="2:7" ht="15" customHeight="1" x14ac:dyDescent="0.3"/>
    <row r="56" spans="2:7" ht="15" customHeight="1" x14ac:dyDescent="0.3"/>
    <row r="57" spans="2:7" ht="15" customHeight="1" x14ac:dyDescent="0.3"/>
    <row r="58" spans="2:7" ht="15" customHeight="1" x14ac:dyDescent="0.3"/>
    <row r="59" spans="2:7" s="4" customFormat="1" ht="15" customHeight="1" x14ac:dyDescent="0.3">
      <c r="B59" s="1"/>
      <c r="C59" s="2"/>
      <c r="D59" s="2"/>
      <c r="E59" s="2"/>
      <c r="F59" s="2"/>
    </row>
    <row r="60" spans="2:7" ht="15" customHeight="1" x14ac:dyDescent="0.3"/>
    <row r="61" spans="2:7" ht="15" customHeight="1" x14ac:dyDescent="0.3"/>
    <row r="62" spans="2:7" s="4" customFormat="1" ht="15" customHeight="1" x14ac:dyDescent="0.3">
      <c r="B62" s="1"/>
      <c r="C62" s="2"/>
      <c r="D62" s="2"/>
      <c r="E62" s="2"/>
      <c r="F62" s="2"/>
      <c r="G62" s="5"/>
    </row>
    <row r="63" spans="2:7" ht="15" customHeight="1" x14ac:dyDescent="0.3"/>
    <row r="64" spans="2:7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15" customHeight="1" x14ac:dyDescent="0.3"/>
    <row r="72" ht="15" customHeight="1" x14ac:dyDescent="0.3"/>
    <row r="73" ht="15" customHeight="1" x14ac:dyDescent="0.3"/>
    <row r="74" ht="15" customHeight="1" x14ac:dyDescent="0.3"/>
    <row r="75" ht="15" customHeight="1" x14ac:dyDescent="0.3"/>
    <row r="76" ht="15" customHeight="1" x14ac:dyDescent="0.3"/>
    <row r="77" ht="15" customHeight="1" x14ac:dyDescent="0.3"/>
    <row r="78" ht="15" customHeight="1" x14ac:dyDescent="0.3"/>
    <row r="79" ht="9.75" customHeight="1" x14ac:dyDescent="0.3"/>
    <row r="80" ht="15" customHeight="1" x14ac:dyDescent="0.3"/>
    <row r="81" ht="15" customHeight="1" x14ac:dyDescent="0.3"/>
    <row r="82" ht="15" customHeight="1" x14ac:dyDescent="0.3"/>
  </sheetData>
  <mergeCells count="3">
    <mergeCell ref="E2:F2"/>
    <mergeCell ref="B2:D2"/>
    <mergeCell ref="B3:C3"/>
  </mergeCells>
  <pageMargins left="0.7" right="0.7" top="0.78740157499999996" bottom="0.78740157499999996" header="0.3" footer="0.3"/>
  <pageSetup paperSize="9" orientation="portrait" verticalDpi="0" r:id="rId1"/>
  <ignoredErrors>
    <ignoredError sqref="D27:E2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1"/>
  <sheetViews>
    <sheetView workbookViewId="0"/>
  </sheetViews>
  <sheetFormatPr defaultRowHeight="14.4" x14ac:dyDescent="0.3"/>
  <cols>
    <col min="1" max="1" width="2.5546875" customWidth="1"/>
    <col min="3" max="9" width="13.33203125" customWidth="1"/>
    <col min="10" max="10" width="5.109375" customWidth="1"/>
    <col min="11" max="11" width="15.21875" bestFit="1" customWidth="1"/>
    <col min="12" max="12" width="8.77734375" bestFit="1" customWidth="1"/>
    <col min="13" max="13" width="16.21875" bestFit="1" customWidth="1"/>
    <col min="14" max="14" width="8.33203125" bestFit="1" customWidth="1"/>
    <col min="15" max="15" width="10" bestFit="1" customWidth="1"/>
    <col min="16" max="16" width="13.5546875" bestFit="1" customWidth="1"/>
    <col min="18" max="18" width="9.44140625" bestFit="1" customWidth="1"/>
  </cols>
  <sheetData>
    <row r="1" spans="2:18" ht="15" thickBot="1" x14ac:dyDescent="0.35"/>
    <row r="2" spans="2:18" ht="15" thickBot="1" x14ac:dyDescent="0.35">
      <c r="B2" s="41" t="s">
        <v>62</v>
      </c>
      <c r="C2" s="42" t="s">
        <v>4</v>
      </c>
      <c r="D2" s="43" t="s">
        <v>45</v>
      </c>
      <c r="E2" s="43" t="s">
        <v>63</v>
      </c>
      <c r="F2" s="43" t="s">
        <v>64</v>
      </c>
      <c r="G2" s="43" t="s">
        <v>4</v>
      </c>
      <c r="H2" s="43" t="s">
        <v>65</v>
      </c>
      <c r="I2" s="44" t="s">
        <v>45</v>
      </c>
    </row>
    <row r="3" spans="2:18" ht="15" thickBot="1" x14ac:dyDescent="0.35">
      <c r="B3" s="41" t="s">
        <v>66</v>
      </c>
      <c r="C3" s="45" t="s">
        <v>67</v>
      </c>
      <c r="D3" s="46" t="s">
        <v>68</v>
      </c>
      <c r="E3" s="47" t="s">
        <v>69</v>
      </c>
      <c r="F3" s="47" t="s">
        <v>70</v>
      </c>
      <c r="G3" s="47" t="s">
        <v>71</v>
      </c>
      <c r="H3" s="47" t="s">
        <v>72</v>
      </c>
      <c r="I3" s="48" t="s">
        <v>73</v>
      </c>
    </row>
    <row r="4" spans="2:18" ht="14.4" customHeight="1" thickBot="1" x14ac:dyDescent="0.35">
      <c r="B4" s="207" t="s">
        <v>1</v>
      </c>
      <c r="C4" s="49" t="s">
        <v>74</v>
      </c>
      <c r="D4" s="228" t="s">
        <v>75</v>
      </c>
      <c r="E4" s="228" t="s">
        <v>76</v>
      </c>
      <c r="F4" s="229" t="s">
        <v>77</v>
      </c>
      <c r="G4" s="228" t="s">
        <v>78</v>
      </c>
      <c r="H4" s="50" t="s">
        <v>79</v>
      </c>
      <c r="I4" s="226" t="s">
        <v>80</v>
      </c>
      <c r="K4" s="66" t="s">
        <v>94</v>
      </c>
      <c r="L4" s="42" t="s">
        <v>66</v>
      </c>
      <c r="M4" s="43" t="s">
        <v>109</v>
      </c>
      <c r="N4" s="43" t="s">
        <v>110</v>
      </c>
      <c r="O4" s="43" t="s">
        <v>95</v>
      </c>
      <c r="P4" s="44" t="s">
        <v>111</v>
      </c>
      <c r="Q4" s="71" t="s">
        <v>96</v>
      </c>
      <c r="R4" s="76" t="s">
        <v>97</v>
      </c>
    </row>
    <row r="5" spans="2:18" x14ac:dyDescent="0.3">
      <c r="B5" s="201"/>
      <c r="C5" s="51" t="s">
        <v>81</v>
      </c>
      <c r="D5" s="221"/>
      <c r="E5" s="221"/>
      <c r="F5" s="230"/>
      <c r="G5" s="221"/>
      <c r="H5" s="52" t="s">
        <v>76</v>
      </c>
      <c r="I5" s="227"/>
      <c r="K5" s="67" t="s">
        <v>98</v>
      </c>
      <c r="L5" s="152" t="s">
        <v>112</v>
      </c>
      <c r="M5" s="149" t="s">
        <v>112</v>
      </c>
      <c r="N5" s="149" t="s">
        <v>112</v>
      </c>
      <c r="O5" s="149" t="s">
        <v>112</v>
      </c>
      <c r="P5" s="148">
        <f>-(15*0+27*350+1*210)</f>
        <v>-9660</v>
      </c>
      <c r="Q5" s="72">
        <f>SUM(L5:P5)</f>
        <v>-9660</v>
      </c>
      <c r="R5" s="77">
        <v>-14000</v>
      </c>
    </row>
    <row r="6" spans="2:18" x14ac:dyDescent="0.3">
      <c r="B6" s="201" t="s">
        <v>2</v>
      </c>
      <c r="C6" s="212" t="s">
        <v>80</v>
      </c>
      <c r="D6" s="53" t="s">
        <v>74</v>
      </c>
      <c r="E6" s="214" t="s">
        <v>82</v>
      </c>
      <c r="F6" s="230"/>
      <c r="G6" s="214" t="s">
        <v>80</v>
      </c>
      <c r="H6" s="218" t="s">
        <v>83</v>
      </c>
      <c r="I6" s="227"/>
      <c r="K6" s="68" t="s">
        <v>99</v>
      </c>
      <c r="L6" s="153">
        <f>SUM(C14:C21)</f>
        <v>4820</v>
      </c>
      <c r="M6" s="64">
        <v>0</v>
      </c>
      <c r="N6" s="64">
        <f>SUM(C24:C31)</f>
        <v>0</v>
      </c>
      <c r="O6" s="64">
        <f>3*500</f>
        <v>1500</v>
      </c>
      <c r="P6" s="154">
        <v>0</v>
      </c>
      <c r="Q6" s="73">
        <f>SUM(L6:P6)</f>
        <v>6320</v>
      </c>
      <c r="R6" s="78">
        <v>8830</v>
      </c>
    </row>
    <row r="7" spans="2:18" x14ac:dyDescent="0.3">
      <c r="B7" s="201"/>
      <c r="C7" s="232"/>
      <c r="D7" s="53" t="s">
        <v>84</v>
      </c>
      <c r="E7" s="221"/>
      <c r="F7" s="230"/>
      <c r="G7" s="221"/>
      <c r="H7" s="219"/>
      <c r="I7" s="225"/>
      <c r="K7" s="68" t="s">
        <v>100</v>
      </c>
      <c r="L7" s="153">
        <f>SUM(D14:D21)</f>
        <v>4640</v>
      </c>
      <c r="M7" s="64">
        <v>0</v>
      </c>
      <c r="N7" s="64">
        <f>SUM(D24:D31)</f>
        <v>405</v>
      </c>
      <c r="O7" s="64">
        <f>3*500</f>
        <v>1500</v>
      </c>
      <c r="P7" s="154">
        <v>0</v>
      </c>
      <c r="Q7" s="73">
        <f t="shared" ref="Q7:Q12" si="0">SUM(L7:P7)</f>
        <v>6545</v>
      </c>
      <c r="R7" s="78">
        <v>8830</v>
      </c>
    </row>
    <row r="8" spans="2:18" x14ac:dyDescent="0.3">
      <c r="B8" s="201" t="s">
        <v>3</v>
      </c>
      <c r="C8" s="54" t="s">
        <v>85</v>
      </c>
      <c r="D8" s="55" t="s">
        <v>76</v>
      </c>
      <c r="E8" s="214" t="s">
        <v>86</v>
      </c>
      <c r="F8" s="230"/>
      <c r="G8" s="222" t="s">
        <v>76</v>
      </c>
      <c r="H8" s="219"/>
      <c r="I8" s="224" t="s">
        <v>87</v>
      </c>
      <c r="K8" s="68" t="s">
        <v>101</v>
      </c>
      <c r="L8" s="153">
        <f>SUM(G14:G21)</f>
        <v>6250</v>
      </c>
      <c r="M8" s="64">
        <v>0</v>
      </c>
      <c r="N8" s="64">
        <f>SUM(G24:G31)</f>
        <v>513</v>
      </c>
      <c r="O8" s="64">
        <f>3*500</f>
        <v>1500</v>
      </c>
      <c r="P8" s="154">
        <v>0</v>
      </c>
      <c r="Q8" s="73">
        <f t="shared" si="0"/>
        <v>8263</v>
      </c>
      <c r="R8" s="78">
        <v>8830</v>
      </c>
    </row>
    <row r="9" spans="2:18" x14ac:dyDescent="0.3">
      <c r="B9" s="201"/>
      <c r="C9" s="54" t="s">
        <v>88</v>
      </c>
      <c r="D9" s="55" t="s">
        <v>87</v>
      </c>
      <c r="E9" s="221"/>
      <c r="F9" s="230"/>
      <c r="G9" s="223"/>
      <c r="H9" s="220"/>
      <c r="I9" s="225"/>
      <c r="K9" s="68" t="s">
        <v>102</v>
      </c>
      <c r="L9" s="155">
        <f>SUM(H14:H21)</f>
        <v>3600</v>
      </c>
      <c r="M9" s="58">
        <v>0</v>
      </c>
      <c r="N9" s="58">
        <f>SUM(H24:H31)</f>
        <v>0</v>
      </c>
      <c r="O9" s="58">
        <f>1*500</f>
        <v>500</v>
      </c>
      <c r="P9" s="154">
        <v>0</v>
      </c>
      <c r="Q9" s="73">
        <f t="shared" si="0"/>
        <v>4100</v>
      </c>
      <c r="R9" s="78">
        <v>7380</v>
      </c>
    </row>
    <row r="10" spans="2:18" x14ac:dyDescent="0.3">
      <c r="B10" s="201" t="s">
        <v>89</v>
      </c>
      <c r="C10" s="212" t="s">
        <v>90</v>
      </c>
      <c r="D10" s="55" t="s">
        <v>87</v>
      </c>
      <c r="E10" s="214" t="s">
        <v>90</v>
      </c>
      <c r="F10" s="230"/>
      <c r="G10" s="214" t="s">
        <v>88</v>
      </c>
      <c r="H10" s="216" t="s">
        <v>85</v>
      </c>
      <c r="I10" s="224" t="s">
        <v>83</v>
      </c>
      <c r="K10" s="68" t="s">
        <v>103</v>
      </c>
      <c r="L10" s="155">
        <f>SUM(I14:I21)</f>
        <v>5000</v>
      </c>
      <c r="M10" s="58">
        <v>0</v>
      </c>
      <c r="N10" s="58">
        <f>SUM(I24:I31)</f>
        <v>450</v>
      </c>
      <c r="O10" s="58">
        <f>3*500</f>
        <v>1500</v>
      </c>
      <c r="P10" s="154">
        <v>0</v>
      </c>
      <c r="Q10" s="73">
        <f t="shared" si="0"/>
        <v>6950</v>
      </c>
      <c r="R10" s="78">
        <v>6880</v>
      </c>
    </row>
    <row r="11" spans="2:18" ht="15" thickBot="1" x14ac:dyDescent="0.35">
      <c r="B11" s="202"/>
      <c r="C11" s="213"/>
      <c r="D11" s="56" t="s">
        <v>76</v>
      </c>
      <c r="E11" s="215"/>
      <c r="F11" s="231"/>
      <c r="G11" s="215"/>
      <c r="H11" s="217"/>
      <c r="I11" s="233"/>
      <c r="K11" s="68" t="s">
        <v>104</v>
      </c>
      <c r="L11" s="153">
        <f>SUM(E14:E21)</f>
        <v>9900</v>
      </c>
      <c r="M11" s="64">
        <v>5200</v>
      </c>
      <c r="N11" s="64">
        <f>SUM(E24)</f>
        <v>2016</v>
      </c>
      <c r="O11" s="64">
        <f>4*800</f>
        <v>3200</v>
      </c>
      <c r="P11" s="154">
        <v>-3500</v>
      </c>
      <c r="Q11" s="73">
        <f t="shared" si="0"/>
        <v>16816</v>
      </c>
      <c r="R11" s="78">
        <v>19675</v>
      </c>
    </row>
    <row r="12" spans="2:18" ht="15" thickBot="1" x14ac:dyDescent="0.35">
      <c r="K12" s="69" t="s">
        <v>105</v>
      </c>
      <c r="L12" s="156">
        <f>SUM(F14)</f>
        <v>15000</v>
      </c>
      <c r="M12" s="157">
        <v>4000</v>
      </c>
      <c r="N12" s="157">
        <f>SUM(F24)</f>
        <v>1800</v>
      </c>
      <c r="O12" s="157">
        <f>4*800</f>
        <v>3200</v>
      </c>
      <c r="P12" s="158">
        <v>-4550</v>
      </c>
      <c r="Q12" s="73">
        <f t="shared" si="0"/>
        <v>19450</v>
      </c>
      <c r="R12" s="78">
        <v>19675</v>
      </c>
    </row>
    <row r="13" spans="2:18" ht="15" thickBot="1" x14ac:dyDescent="0.35">
      <c r="B13" s="41" t="s">
        <v>91</v>
      </c>
      <c r="C13" s="45" t="s">
        <v>67</v>
      </c>
      <c r="D13" s="46" t="s">
        <v>68</v>
      </c>
      <c r="E13" s="47" t="s">
        <v>69</v>
      </c>
      <c r="F13" s="47" t="s">
        <v>70</v>
      </c>
      <c r="G13" s="47" t="s">
        <v>71</v>
      </c>
      <c r="H13" s="47" t="s">
        <v>72</v>
      </c>
      <c r="I13" s="48" t="s">
        <v>73</v>
      </c>
      <c r="K13" s="68" t="s">
        <v>106</v>
      </c>
      <c r="L13" s="189">
        <f>2*3000+3*1000</f>
        <v>9000</v>
      </c>
      <c r="M13" s="190"/>
      <c r="N13" s="190"/>
      <c r="O13" s="190"/>
      <c r="P13" s="191"/>
      <c r="Q13" s="73">
        <f>SUM(L13)</f>
        <v>9000</v>
      </c>
      <c r="R13" s="78">
        <v>9000</v>
      </c>
    </row>
    <row r="14" spans="2:18" ht="15" thickBot="1" x14ac:dyDescent="0.35">
      <c r="B14" s="207" t="s">
        <v>1</v>
      </c>
      <c r="C14" s="176">
        <f>380*2</f>
        <v>760</v>
      </c>
      <c r="D14" s="208">
        <f>260*4</f>
        <v>1040</v>
      </c>
      <c r="E14" s="208">
        <f>260*9</f>
        <v>2340</v>
      </c>
      <c r="F14" s="208">
        <f>450*8+450*8+450*8+350*8+350*4</f>
        <v>15000</v>
      </c>
      <c r="G14" s="208">
        <f>500*4</f>
        <v>2000</v>
      </c>
      <c r="H14" s="151">
        <f>500*2*0.5</f>
        <v>500</v>
      </c>
      <c r="I14" s="198">
        <f>450*4</f>
        <v>1800</v>
      </c>
      <c r="K14" s="70" t="s">
        <v>107</v>
      </c>
      <c r="L14" s="192">
        <v>5000</v>
      </c>
      <c r="M14" s="193"/>
      <c r="N14" s="193"/>
      <c r="O14" s="193"/>
      <c r="P14" s="194"/>
      <c r="Q14" s="74">
        <f>SUM(L14)</f>
        <v>5000</v>
      </c>
      <c r="R14" s="79">
        <v>6000</v>
      </c>
    </row>
    <row r="15" spans="2:18" ht="15" thickBot="1" x14ac:dyDescent="0.35">
      <c r="B15" s="201"/>
      <c r="C15" s="57">
        <f>350*2</f>
        <v>700</v>
      </c>
      <c r="D15" s="209"/>
      <c r="E15" s="209"/>
      <c r="F15" s="210"/>
      <c r="G15" s="209"/>
      <c r="H15" s="150">
        <f>350*2</f>
        <v>700</v>
      </c>
      <c r="I15" s="199"/>
      <c r="K15" s="66" t="s">
        <v>108</v>
      </c>
      <c r="L15" s="195">
        <f>SUM(L5:P14)</f>
        <v>72784</v>
      </c>
      <c r="M15" s="196"/>
      <c r="N15" s="196"/>
      <c r="O15" s="196"/>
      <c r="P15" s="197"/>
      <c r="Q15" s="75">
        <f>SUM(Q5:Q14)</f>
        <v>72784</v>
      </c>
      <c r="R15" s="80">
        <f>SUM(R5:R14)</f>
        <v>81100</v>
      </c>
    </row>
    <row r="16" spans="2:18" x14ac:dyDescent="0.3">
      <c r="B16" s="201" t="s">
        <v>2</v>
      </c>
      <c r="C16" s="203">
        <f>350*4</f>
        <v>1400</v>
      </c>
      <c r="D16" s="61">
        <f>380*2</f>
        <v>760</v>
      </c>
      <c r="E16" s="205">
        <f>200*9</f>
        <v>1800</v>
      </c>
      <c r="F16" s="210"/>
      <c r="G16" s="205">
        <f>450*4</f>
        <v>1800</v>
      </c>
      <c r="H16" s="184">
        <f>350*4</f>
        <v>1400</v>
      </c>
      <c r="I16" s="199"/>
      <c r="K16" s="60"/>
    </row>
    <row r="17" spans="2:17" x14ac:dyDescent="0.3">
      <c r="B17" s="201"/>
      <c r="C17" s="211"/>
      <c r="D17" s="61">
        <f>200*2</f>
        <v>400</v>
      </c>
      <c r="E17" s="209"/>
      <c r="F17" s="210"/>
      <c r="G17" s="209"/>
      <c r="H17" s="185"/>
      <c r="I17" s="200"/>
      <c r="Q17" s="60"/>
    </row>
    <row r="18" spans="2:17" x14ac:dyDescent="0.3">
      <c r="B18" s="201" t="s">
        <v>3</v>
      </c>
      <c r="C18" s="57">
        <f>200*2</f>
        <v>400</v>
      </c>
      <c r="D18" s="61">
        <f>260*2</f>
        <v>520</v>
      </c>
      <c r="E18" s="205">
        <f>380*9</f>
        <v>3420</v>
      </c>
      <c r="F18" s="210"/>
      <c r="G18" s="205">
        <f>350*3</f>
        <v>1050</v>
      </c>
      <c r="H18" s="185"/>
      <c r="I18" s="187">
        <f>450*4</f>
        <v>1800</v>
      </c>
      <c r="K18" s="60"/>
      <c r="M18" s="60"/>
    </row>
    <row r="19" spans="2:17" x14ac:dyDescent="0.3">
      <c r="B19" s="201"/>
      <c r="C19" s="57">
        <f>260*2</f>
        <v>520</v>
      </c>
      <c r="D19" s="61">
        <f>350*2</f>
        <v>700</v>
      </c>
      <c r="E19" s="209"/>
      <c r="F19" s="210"/>
      <c r="G19" s="209"/>
      <c r="H19" s="183"/>
      <c r="I19" s="200"/>
      <c r="M19" s="60"/>
    </row>
    <row r="20" spans="2:17" x14ac:dyDescent="0.3">
      <c r="B20" s="201" t="s">
        <v>89</v>
      </c>
      <c r="C20" s="203">
        <f>260*4</f>
        <v>1040</v>
      </c>
      <c r="D20" s="61">
        <f>350*2</f>
        <v>700</v>
      </c>
      <c r="E20" s="205">
        <f>260*9</f>
        <v>2340</v>
      </c>
      <c r="F20" s="210"/>
      <c r="G20" s="205">
        <f>350*4</f>
        <v>1400</v>
      </c>
      <c r="H20" s="184">
        <f>250*4</f>
        <v>1000</v>
      </c>
      <c r="I20" s="187">
        <f>350*4</f>
        <v>1400</v>
      </c>
    </row>
    <row r="21" spans="2:17" ht="15" thickBot="1" x14ac:dyDescent="0.35">
      <c r="B21" s="202"/>
      <c r="C21" s="204"/>
      <c r="D21" s="62">
        <f>260*2</f>
        <v>520</v>
      </c>
      <c r="E21" s="206"/>
      <c r="F21" s="206"/>
      <c r="G21" s="206"/>
      <c r="H21" s="186"/>
      <c r="I21" s="188"/>
    </row>
    <row r="22" spans="2:17" ht="15" thickBot="1" x14ac:dyDescent="0.35">
      <c r="C22" s="60"/>
      <c r="D22" s="60"/>
      <c r="E22" s="60"/>
      <c r="F22" s="60"/>
      <c r="G22" s="60"/>
      <c r="H22" s="60"/>
      <c r="I22" s="60"/>
    </row>
    <row r="23" spans="2:17" ht="15" thickBot="1" x14ac:dyDescent="0.35">
      <c r="B23" s="41" t="s">
        <v>92</v>
      </c>
      <c r="C23" s="45" t="s">
        <v>67</v>
      </c>
      <c r="D23" s="46" t="s">
        <v>68</v>
      </c>
      <c r="E23" s="47" t="s">
        <v>69</v>
      </c>
      <c r="F23" s="47" t="s">
        <v>70</v>
      </c>
      <c r="G23" s="47" t="s">
        <v>71</v>
      </c>
      <c r="H23" s="47" t="s">
        <v>72</v>
      </c>
      <c r="I23" s="48" t="s">
        <v>73</v>
      </c>
    </row>
    <row r="24" spans="2:17" x14ac:dyDescent="0.3">
      <c r="B24" s="207" t="s">
        <v>1</v>
      </c>
      <c r="C24" s="176" t="s">
        <v>93</v>
      </c>
      <c r="D24" s="208" t="s">
        <v>93</v>
      </c>
      <c r="E24" s="208">
        <v>2016</v>
      </c>
      <c r="F24" s="208">
        <v>1800</v>
      </c>
      <c r="G24" s="208">
        <v>513</v>
      </c>
      <c r="H24" s="182" t="s">
        <v>93</v>
      </c>
      <c r="I24" s="198">
        <v>450</v>
      </c>
      <c r="J24" s="63"/>
    </row>
    <row r="25" spans="2:17" x14ac:dyDescent="0.3">
      <c r="B25" s="201"/>
      <c r="C25" s="57" t="s">
        <v>93</v>
      </c>
      <c r="D25" s="209"/>
      <c r="E25" s="210"/>
      <c r="F25" s="210"/>
      <c r="G25" s="209"/>
      <c r="H25" s="183"/>
      <c r="I25" s="199"/>
      <c r="J25" s="63"/>
    </row>
    <row r="26" spans="2:17" x14ac:dyDescent="0.3">
      <c r="B26" s="201" t="s">
        <v>2</v>
      </c>
      <c r="C26" s="203" t="s">
        <v>93</v>
      </c>
      <c r="D26" s="61" t="s">
        <v>93</v>
      </c>
      <c r="E26" s="210"/>
      <c r="F26" s="210"/>
      <c r="G26" s="205" t="s">
        <v>93</v>
      </c>
      <c r="H26" s="184" t="s">
        <v>93</v>
      </c>
      <c r="I26" s="199"/>
      <c r="J26" s="63"/>
    </row>
    <row r="27" spans="2:17" x14ac:dyDescent="0.3">
      <c r="B27" s="201"/>
      <c r="C27" s="211"/>
      <c r="D27" s="61" t="s">
        <v>93</v>
      </c>
      <c r="E27" s="210"/>
      <c r="F27" s="210"/>
      <c r="G27" s="209"/>
      <c r="H27" s="183"/>
      <c r="I27" s="200"/>
      <c r="J27" s="63"/>
    </row>
    <row r="28" spans="2:17" x14ac:dyDescent="0.3">
      <c r="B28" s="201" t="s">
        <v>3</v>
      </c>
      <c r="C28" s="57" t="s">
        <v>93</v>
      </c>
      <c r="D28" s="61">
        <v>405</v>
      </c>
      <c r="E28" s="210"/>
      <c r="F28" s="210"/>
      <c r="G28" s="205" t="s">
        <v>93</v>
      </c>
      <c r="H28" s="184" t="s">
        <v>93</v>
      </c>
      <c r="I28" s="187" t="s">
        <v>93</v>
      </c>
      <c r="J28" s="63"/>
    </row>
    <row r="29" spans="2:17" x14ac:dyDescent="0.3">
      <c r="B29" s="201"/>
      <c r="C29" s="57" t="s">
        <v>93</v>
      </c>
      <c r="D29" s="61" t="s">
        <v>93</v>
      </c>
      <c r="E29" s="210"/>
      <c r="F29" s="210"/>
      <c r="G29" s="209"/>
      <c r="H29" s="183"/>
      <c r="I29" s="200"/>
      <c r="J29" s="63"/>
    </row>
    <row r="30" spans="2:17" x14ac:dyDescent="0.3">
      <c r="B30" s="201" t="s">
        <v>89</v>
      </c>
      <c r="C30" s="203" t="s">
        <v>93</v>
      </c>
      <c r="D30" s="61" t="s">
        <v>93</v>
      </c>
      <c r="E30" s="210"/>
      <c r="F30" s="210"/>
      <c r="G30" s="205" t="s">
        <v>93</v>
      </c>
      <c r="H30" s="184" t="s">
        <v>93</v>
      </c>
      <c r="I30" s="187" t="s">
        <v>93</v>
      </c>
      <c r="J30" s="63"/>
    </row>
    <row r="31" spans="2:17" ht="15" thickBot="1" x14ac:dyDescent="0.35">
      <c r="B31" s="202"/>
      <c r="C31" s="204"/>
      <c r="D31" s="62" t="s">
        <v>93</v>
      </c>
      <c r="E31" s="206"/>
      <c r="F31" s="206"/>
      <c r="G31" s="206"/>
      <c r="H31" s="186"/>
      <c r="I31" s="188"/>
      <c r="J31" s="63"/>
    </row>
  </sheetData>
  <mergeCells count="65">
    <mergeCell ref="H6:H9"/>
    <mergeCell ref="B8:B9"/>
    <mergeCell ref="E8:E9"/>
    <mergeCell ref="G8:G9"/>
    <mergeCell ref="I8:I9"/>
    <mergeCell ref="I4:I7"/>
    <mergeCell ref="B4:B5"/>
    <mergeCell ref="D4:D5"/>
    <mergeCell ref="E4:E5"/>
    <mergeCell ref="F4:F11"/>
    <mergeCell ref="G4:G5"/>
    <mergeCell ref="B6:B7"/>
    <mergeCell ref="C6:C7"/>
    <mergeCell ref="E6:E7"/>
    <mergeCell ref="G6:G7"/>
    <mergeCell ref="I10:I11"/>
    <mergeCell ref="G10:G11"/>
    <mergeCell ref="H10:H11"/>
    <mergeCell ref="G16:G17"/>
    <mergeCell ref="B14:B15"/>
    <mergeCell ref="D14:D15"/>
    <mergeCell ref="E14:E15"/>
    <mergeCell ref="F14:F21"/>
    <mergeCell ref="G14:G15"/>
    <mergeCell ref="B18:B19"/>
    <mergeCell ref="E18:E19"/>
    <mergeCell ref="G18:G19"/>
    <mergeCell ref="B20:B21"/>
    <mergeCell ref="C20:C21"/>
    <mergeCell ref="E20:E21"/>
    <mergeCell ref="G20:G21"/>
    <mergeCell ref="B16:B17"/>
    <mergeCell ref="C16:C17"/>
    <mergeCell ref="E16:E17"/>
    <mergeCell ref="B10:B11"/>
    <mergeCell ref="C10:C11"/>
    <mergeCell ref="E10:E11"/>
    <mergeCell ref="B30:B31"/>
    <mergeCell ref="C30:C31"/>
    <mergeCell ref="G30:G31"/>
    <mergeCell ref="H30:H31"/>
    <mergeCell ref="B24:B25"/>
    <mergeCell ref="D24:D25"/>
    <mergeCell ref="E24:E31"/>
    <mergeCell ref="F24:F31"/>
    <mergeCell ref="G24:G25"/>
    <mergeCell ref="B26:B27"/>
    <mergeCell ref="C26:C27"/>
    <mergeCell ref="G26:G27"/>
    <mergeCell ref="H26:H27"/>
    <mergeCell ref="B28:B29"/>
    <mergeCell ref="G28:G29"/>
    <mergeCell ref="H28:H29"/>
    <mergeCell ref="H24:H25"/>
    <mergeCell ref="H16:H19"/>
    <mergeCell ref="H20:H21"/>
    <mergeCell ref="I30:I31"/>
    <mergeCell ref="L13:P13"/>
    <mergeCell ref="L14:P14"/>
    <mergeCell ref="L15:P15"/>
    <mergeCell ref="I24:I27"/>
    <mergeCell ref="I28:I29"/>
    <mergeCell ref="I20:I21"/>
    <mergeCell ref="I18:I19"/>
    <mergeCell ref="I14:I17"/>
  </mergeCells>
  <pageMargins left="0.7" right="0.7" top="0.78740157499999996" bottom="0.78740157499999996" header="0.3" footer="0.3"/>
  <pageSetup paperSize="9" orientation="portrait" verticalDpi="0" r:id="rId1"/>
  <ignoredErrors>
    <ignoredError sqref="H20 O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"/>
  <sheetViews>
    <sheetView workbookViewId="0">
      <pane ySplit="2" topLeftCell="A3" activePane="bottomLeft" state="frozen"/>
      <selection pane="bottomLeft"/>
    </sheetView>
  </sheetViews>
  <sheetFormatPr defaultRowHeight="14.4" x14ac:dyDescent="0.3"/>
  <cols>
    <col min="1" max="1" width="8.88671875" style="81"/>
    <col min="2" max="2" width="14.88671875" style="81" bestFit="1" customWidth="1"/>
    <col min="3" max="3" width="18.33203125" style="81" bestFit="1" customWidth="1"/>
    <col min="4" max="4" width="19.21875" style="81" bestFit="1" customWidth="1"/>
    <col min="5" max="5" width="18" style="81" bestFit="1" customWidth="1"/>
    <col min="6" max="6" width="10.109375" style="81" bestFit="1" customWidth="1"/>
    <col min="7" max="7" width="17" style="81" bestFit="1" customWidth="1"/>
    <col min="8" max="8" width="10.44140625" style="81" bestFit="1" customWidth="1"/>
    <col min="9" max="9" width="9.21875" style="81" bestFit="1" customWidth="1"/>
    <col min="10" max="10" width="15.77734375" style="81" customWidth="1"/>
    <col min="11" max="16384" width="8.88671875" style="81"/>
  </cols>
  <sheetData>
    <row r="1" spans="2:10" ht="15" thickBot="1" x14ac:dyDescent="0.35"/>
    <row r="2" spans="2:10" ht="15" thickBot="1" x14ac:dyDescent="0.35">
      <c r="B2" s="132" t="s">
        <v>113</v>
      </c>
      <c r="C2" s="47" t="s">
        <v>188</v>
      </c>
      <c r="D2" s="47" t="s">
        <v>162</v>
      </c>
      <c r="E2" s="47" t="s">
        <v>114</v>
      </c>
      <c r="F2" s="47" t="s">
        <v>115</v>
      </c>
      <c r="G2" s="47" t="s">
        <v>180</v>
      </c>
      <c r="H2" s="47" t="s">
        <v>198</v>
      </c>
      <c r="I2" s="48" t="s">
        <v>116</v>
      </c>
      <c r="J2" s="133" t="s">
        <v>108</v>
      </c>
    </row>
    <row r="3" spans="2:10" x14ac:dyDescent="0.3">
      <c r="B3" s="141" t="s">
        <v>161</v>
      </c>
      <c r="C3" s="142">
        <v>450</v>
      </c>
      <c r="D3" s="142">
        <f>CEILING(IF(H3="DPP",C3*0.85,IF(H3="F",C3,0)),1)</f>
        <v>383</v>
      </c>
      <c r="E3" s="134" t="s">
        <v>163</v>
      </c>
      <c r="F3" s="143">
        <v>44944</v>
      </c>
      <c r="G3" s="134" t="s">
        <v>157</v>
      </c>
      <c r="H3" s="134" t="s">
        <v>158</v>
      </c>
      <c r="I3" s="138" t="s">
        <v>117</v>
      </c>
      <c r="J3" s="234">
        <f>SUM(D3:D21)</f>
        <v>18024</v>
      </c>
    </row>
    <row r="4" spans="2:10" x14ac:dyDescent="0.3">
      <c r="B4" s="144" t="s">
        <v>161</v>
      </c>
      <c r="C4" s="59">
        <v>750</v>
      </c>
      <c r="D4" s="59">
        <f t="shared" ref="D4:D33" si="0">CEILING(IF(H4="DPP",C4*0.85,IF(H4="F",C4,0)),1)</f>
        <v>750</v>
      </c>
      <c r="E4" s="135" t="s">
        <v>164</v>
      </c>
      <c r="F4" s="145">
        <v>44959</v>
      </c>
      <c r="G4" s="135" t="s">
        <v>181</v>
      </c>
      <c r="H4" s="135" t="s">
        <v>159</v>
      </c>
      <c r="I4" s="139" t="s">
        <v>117</v>
      </c>
      <c r="J4" s="235"/>
    </row>
    <row r="5" spans="2:10" x14ac:dyDescent="0.3">
      <c r="B5" s="144" t="s">
        <v>161</v>
      </c>
      <c r="C5" s="59">
        <v>510</v>
      </c>
      <c r="D5" s="59">
        <f t="shared" si="0"/>
        <v>434</v>
      </c>
      <c r="E5" s="135" t="s">
        <v>165</v>
      </c>
      <c r="F5" s="145">
        <v>44965</v>
      </c>
      <c r="G5" s="135" t="s">
        <v>182</v>
      </c>
      <c r="H5" s="135" t="s">
        <v>158</v>
      </c>
      <c r="I5" s="139" t="s">
        <v>117</v>
      </c>
      <c r="J5" s="235"/>
    </row>
    <row r="6" spans="2:10" x14ac:dyDescent="0.3">
      <c r="B6" s="144" t="s">
        <v>161</v>
      </c>
      <c r="C6" s="59">
        <v>450</v>
      </c>
      <c r="D6" s="59">
        <f t="shared" si="0"/>
        <v>383</v>
      </c>
      <c r="E6" s="135" t="s">
        <v>166</v>
      </c>
      <c r="F6" s="145">
        <v>44979</v>
      </c>
      <c r="G6" s="135" t="s">
        <v>160</v>
      </c>
      <c r="H6" s="135" t="s">
        <v>158</v>
      </c>
      <c r="I6" s="139" t="s">
        <v>117</v>
      </c>
      <c r="J6" s="235"/>
    </row>
    <row r="7" spans="2:10" x14ac:dyDescent="0.3">
      <c r="B7" s="144" t="s">
        <v>161</v>
      </c>
      <c r="C7" s="59">
        <v>450</v>
      </c>
      <c r="D7" s="59">
        <f t="shared" si="0"/>
        <v>383</v>
      </c>
      <c r="E7" s="135" t="s">
        <v>167</v>
      </c>
      <c r="F7" s="145">
        <v>44986</v>
      </c>
      <c r="G7" s="135" t="s">
        <v>157</v>
      </c>
      <c r="H7" s="135" t="s">
        <v>158</v>
      </c>
      <c r="I7" s="139" t="s">
        <v>117</v>
      </c>
      <c r="J7" s="235"/>
    </row>
    <row r="8" spans="2:10" x14ac:dyDescent="0.3">
      <c r="B8" s="144" t="s">
        <v>161</v>
      </c>
      <c r="C8" s="59">
        <v>420</v>
      </c>
      <c r="D8" s="59">
        <f t="shared" si="0"/>
        <v>357</v>
      </c>
      <c r="E8" s="135" t="s">
        <v>168</v>
      </c>
      <c r="F8" s="145">
        <v>45007</v>
      </c>
      <c r="G8" s="135" t="s">
        <v>183</v>
      </c>
      <c r="H8" s="135" t="s">
        <v>158</v>
      </c>
      <c r="I8" s="139" t="s">
        <v>117</v>
      </c>
      <c r="J8" s="235"/>
    </row>
    <row r="9" spans="2:10" x14ac:dyDescent="0.3">
      <c r="B9" s="144" t="s">
        <v>161</v>
      </c>
      <c r="C9" s="59">
        <v>882</v>
      </c>
      <c r="D9" s="59">
        <f t="shared" si="0"/>
        <v>750</v>
      </c>
      <c r="E9" s="135" t="s">
        <v>169</v>
      </c>
      <c r="F9" s="145">
        <v>45036</v>
      </c>
      <c r="G9" s="135" t="s">
        <v>184</v>
      </c>
      <c r="H9" s="135" t="s">
        <v>158</v>
      </c>
      <c r="I9" s="139" t="s">
        <v>117</v>
      </c>
      <c r="J9" s="235"/>
    </row>
    <row r="10" spans="2:10" x14ac:dyDescent="0.3">
      <c r="B10" s="144" t="s">
        <v>161</v>
      </c>
      <c r="C10" s="59">
        <v>750</v>
      </c>
      <c r="D10" s="59">
        <f t="shared" si="0"/>
        <v>750</v>
      </c>
      <c r="E10" s="135" t="s">
        <v>170</v>
      </c>
      <c r="F10" s="145">
        <v>45042</v>
      </c>
      <c r="G10" s="135" t="s">
        <v>185</v>
      </c>
      <c r="H10" s="135" t="s">
        <v>159</v>
      </c>
      <c r="I10" s="139" t="s">
        <v>117</v>
      </c>
      <c r="J10" s="235"/>
    </row>
    <row r="11" spans="2:10" x14ac:dyDescent="0.3">
      <c r="B11" s="144" t="s">
        <v>161</v>
      </c>
      <c r="C11" s="59">
        <v>882</v>
      </c>
      <c r="D11" s="59">
        <f t="shared" si="0"/>
        <v>750</v>
      </c>
      <c r="E11" s="135" t="s">
        <v>171</v>
      </c>
      <c r="F11" s="145">
        <v>45057</v>
      </c>
      <c r="G11" s="135" t="s">
        <v>184</v>
      </c>
      <c r="H11" s="135" t="s">
        <v>158</v>
      </c>
      <c r="I11" s="139" t="s">
        <v>117</v>
      </c>
      <c r="J11" s="235"/>
    </row>
    <row r="12" spans="2:10" x14ac:dyDescent="0.3">
      <c r="B12" s="144" t="s">
        <v>161</v>
      </c>
      <c r="C12" s="59">
        <v>645</v>
      </c>
      <c r="D12" s="59">
        <f t="shared" si="0"/>
        <v>645</v>
      </c>
      <c r="E12" s="135" t="s">
        <v>172</v>
      </c>
      <c r="F12" s="145">
        <v>45077</v>
      </c>
      <c r="G12" s="135" t="s">
        <v>186</v>
      </c>
      <c r="H12" s="135" t="s">
        <v>159</v>
      </c>
      <c r="I12" s="139" t="s">
        <v>117</v>
      </c>
      <c r="J12" s="235"/>
    </row>
    <row r="13" spans="2:10" x14ac:dyDescent="0.3">
      <c r="B13" s="144" t="s">
        <v>161</v>
      </c>
      <c r="C13" s="59">
        <v>675</v>
      </c>
      <c r="D13" s="59">
        <f t="shared" si="0"/>
        <v>574</v>
      </c>
      <c r="E13" s="135" t="s">
        <v>173</v>
      </c>
      <c r="F13" s="145">
        <v>45091</v>
      </c>
      <c r="G13" s="135" t="s">
        <v>187</v>
      </c>
      <c r="H13" s="135" t="s">
        <v>158</v>
      </c>
      <c r="I13" s="139" t="s">
        <v>117</v>
      </c>
      <c r="J13" s="235"/>
    </row>
    <row r="14" spans="2:10" x14ac:dyDescent="0.3">
      <c r="B14" s="144" t="s">
        <v>161</v>
      </c>
      <c r="C14" s="59">
        <v>585</v>
      </c>
      <c r="D14" s="59">
        <f t="shared" si="0"/>
        <v>498</v>
      </c>
      <c r="E14" s="135" t="s">
        <v>174</v>
      </c>
      <c r="F14" s="145">
        <v>45196</v>
      </c>
      <c r="G14" s="135" t="s">
        <v>160</v>
      </c>
      <c r="H14" s="135" t="s">
        <v>158</v>
      </c>
      <c r="I14" s="139" t="s">
        <v>117</v>
      </c>
      <c r="J14" s="235"/>
    </row>
    <row r="15" spans="2:10" x14ac:dyDescent="0.3">
      <c r="B15" s="144" t="s">
        <v>161</v>
      </c>
      <c r="C15" s="59">
        <v>750</v>
      </c>
      <c r="D15" s="59">
        <f t="shared" si="0"/>
        <v>750</v>
      </c>
      <c r="E15" s="135" t="s">
        <v>175</v>
      </c>
      <c r="F15" s="145">
        <v>45203</v>
      </c>
      <c r="G15" s="135" t="s">
        <v>181</v>
      </c>
      <c r="H15" s="135" t="s">
        <v>159</v>
      </c>
      <c r="I15" s="139" t="s">
        <v>117</v>
      </c>
      <c r="J15" s="235"/>
    </row>
    <row r="16" spans="2:10" x14ac:dyDescent="0.3">
      <c r="B16" s="144" t="s">
        <v>161</v>
      </c>
      <c r="C16" s="59">
        <v>585</v>
      </c>
      <c r="D16" s="59">
        <f t="shared" si="0"/>
        <v>498</v>
      </c>
      <c r="E16" s="135" t="s">
        <v>176</v>
      </c>
      <c r="F16" s="145">
        <v>45210</v>
      </c>
      <c r="G16" s="135" t="s">
        <v>157</v>
      </c>
      <c r="H16" s="135" t="s">
        <v>158</v>
      </c>
      <c r="I16" s="139" t="s">
        <v>117</v>
      </c>
      <c r="J16" s="235"/>
    </row>
    <row r="17" spans="2:13" x14ac:dyDescent="0.3">
      <c r="B17" s="144" t="s">
        <v>161</v>
      </c>
      <c r="C17" s="59">
        <v>585</v>
      </c>
      <c r="D17" s="59">
        <f t="shared" si="0"/>
        <v>498</v>
      </c>
      <c r="E17" s="135" t="s">
        <v>177</v>
      </c>
      <c r="F17" s="145">
        <v>45217</v>
      </c>
      <c r="G17" s="135" t="s">
        <v>160</v>
      </c>
      <c r="H17" s="135" t="s">
        <v>158</v>
      </c>
      <c r="I17" s="139" t="s">
        <v>117</v>
      </c>
      <c r="J17" s="235"/>
    </row>
    <row r="18" spans="2:13" x14ac:dyDescent="0.3">
      <c r="B18" s="144" t="s">
        <v>161</v>
      </c>
      <c r="C18" s="59">
        <v>585</v>
      </c>
      <c r="D18" s="59">
        <f t="shared" si="0"/>
        <v>498</v>
      </c>
      <c r="E18" s="135" t="s">
        <v>178</v>
      </c>
      <c r="F18" s="145">
        <v>45231</v>
      </c>
      <c r="G18" s="135" t="s">
        <v>157</v>
      </c>
      <c r="H18" s="135" t="s">
        <v>158</v>
      </c>
      <c r="I18" s="139" t="s">
        <v>117</v>
      </c>
      <c r="J18" s="235"/>
    </row>
    <row r="19" spans="2:13" x14ac:dyDescent="0.3">
      <c r="B19" s="144" t="s">
        <v>161</v>
      </c>
      <c r="C19" s="59">
        <v>930</v>
      </c>
      <c r="D19" s="59">
        <f t="shared" si="0"/>
        <v>930</v>
      </c>
      <c r="E19" s="135" t="s">
        <v>179</v>
      </c>
      <c r="F19" s="145">
        <v>45238</v>
      </c>
      <c r="G19" s="135" t="s">
        <v>185</v>
      </c>
      <c r="H19" s="135" t="s">
        <v>159</v>
      </c>
      <c r="I19" s="139" t="s">
        <v>117</v>
      </c>
      <c r="J19" s="235"/>
    </row>
    <row r="20" spans="2:13" x14ac:dyDescent="0.3">
      <c r="B20" s="144" t="s">
        <v>161</v>
      </c>
      <c r="C20" s="59">
        <v>7140</v>
      </c>
      <c r="D20" s="59">
        <f t="shared" si="0"/>
        <v>7140</v>
      </c>
      <c r="E20" s="135" t="s">
        <v>189</v>
      </c>
      <c r="F20" s="145">
        <v>45257</v>
      </c>
      <c r="G20" s="135" t="s">
        <v>190</v>
      </c>
      <c r="H20" s="135" t="s">
        <v>159</v>
      </c>
      <c r="I20" s="139" t="s">
        <v>117</v>
      </c>
      <c r="J20" s="235"/>
    </row>
    <row r="21" spans="2:13" ht="15" thickBot="1" x14ac:dyDescent="0.35">
      <c r="B21" s="146" t="s">
        <v>161</v>
      </c>
      <c r="C21" s="65">
        <v>0</v>
      </c>
      <c r="D21" s="65">
        <f>SUM(C3:C20)-SUM(D3:D20)</f>
        <v>1053</v>
      </c>
      <c r="E21" s="136" t="s">
        <v>193</v>
      </c>
      <c r="F21" s="147">
        <v>45257</v>
      </c>
      <c r="G21" s="136" t="s">
        <v>192</v>
      </c>
      <c r="H21" s="136" t="s">
        <v>191</v>
      </c>
      <c r="I21" s="137" t="s">
        <v>117</v>
      </c>
      <c r="J21" s="236"/>
      <c r="L21" s="140"/>
      <c r="M21" s="140"/>
    </row>
    <row r="22" spans="2:13" x14ac:dyDescent="0.3">
      <c r="B22" s="141" t="s">
        <v>194</v>
      </c>
      <c r="C22" s="142">
        <v>2000</v>
      </c>
      <c r="D22" s="142">
        <f t="shared" si="0"/>
        <v>1700</v>
      </c>
      <c r="E22" s="134" t="s">
        <v>195</v>
      </c>
      <c r="F22" s="143">
        <v>45275</v>
      </c>
      <c r="G22" s="134" t="s">
        <v>184</v>
      </c>
      <c r="H22" s="134" t="s">
        <v>158</v>
      </c>
      <c r="I22" s="138" t="s">
        <v>117</v>
      </c>
      <c r="J22" s="234">
        <f>SUM(D22:D27)</f>
        <v>15064</v>
      </c>
    </row>
    <row r="23" spans="2:13" x14ac:dyDescent="0.3">
      <c r="B23" s="144" t="s">
        <v>194</v>
      </c>
      <c r="C23" s="59">
        <v>2000</v>
      </c>
      <c r="D23" s="59">
        <f t="shared" si="0"/>
        <v>2000</v>
      </c>
      <c r="E23" s="135" t="s">
        <v>196</v>
      </c>
      <c r="F23" s="145">
        <v>45278</v>
      </c>
      <c r="G23" s="135" t="s">
        <v>185</v>
      </c>
      <c r="H23" s="135" t="s">
        <v>159</v>
      </c>
      <c r="I23" s="139" t="s">
        <v>117</v>
      </c>
      <c r="J23" s="235"/>
    </row>
    <row r="24" spans="2:13" x14ac:dyDescent="0.3">
      <c r="B24" s="144" t="s">
        <v>194</v>
      </c>
      <c r="C24" s="59">
        <v>2000</v>
      </c>
      <c r="D24" s="59">
        <f t="shared" si="0"/>
        <v>1700</v>
      </c>
      <c r="E24" s="135" t="s">
        <v>197</v>
      </c>
      <c r="F24" s="145">
        <v>45277</v>
      </c>
      <c r="G24" s="135" t="s">
        <v>201</v>
      </c>
      <c r="H24" s="135" t="s">
        <v>158</v>
      </c>
      <c r="I24" s="139" t="s">
        <v>117</v>
      </c>
      <c r="J24" s="235"/>
    </row>
    <row r="25" spans="2:13" x14ac:dyDescent="0.3">
      <c r="B25" s="144" t="s">
        <v>194</v>
      </c>
      <c r="C25" s="59">
        <v>2570</v>
      </c>
      <c r="D25" s="59">
        <f t="shared" si="0"/>
        <v>2570</v>
      </c>
      <c r="E25" s="135" t="s">
        <v>199</v>
      </c>
      <c r="F25" s="145">
        <v>45289</v>
      </c>
      <c r="G25" s="135" t="s">
        <v>203</v>
      </c>
      <c r="H25" s="135" t="s">
        <v>159</v>
      </c>
      <c r="I25" s="139" t="s">
        <v>117</v>
      </c>
      <c r="J25" s="235"/>
    </row>
    <row r="26" spans="2:13" x14ac:dyDescent="0.3">
      <c r="B26" s="144" t="s">
        <v>194</v>
      </c>
      <c r="C26" s="59">
        <v>6494</v>
      </c>
      <c r="D26" s="59">
        <f t="shared" si="0"/>
        <v>6494</v>
      </c>
      <c r="E26" s="135" t="s">
        <v>200</v>
      </c>
      <c r="F26" s="145">
        <v>45289</v>
      </c>
      <c r="G26" s="135" t="s">
        <v>202</v>
      </c>
      <c r="H26" s="135" t="s">
        <v>159</v>
      </c>
      <c r="I26" s="139" t="s">
        <v>117</v>
      </c>
      <c r="J26" s="235"/>
    </row>
    <row r="27" spans="2:13" ht="15" thickBot="1" x14ac:dyDescent="0.35">
      <c r="B27" s="146" t="s">
        <v>194</v>
      </c>
      <c r="C27" s="65">
        <v>0</v>
      </c>
      <c r="D27" s="65">
        <f>SUM(C22:C26)-SUM(D22:D26)</f>
        <v>600</v>
      </c>
      <c r="E27" s="136" t="s">
        <v>193</v>
      </c>
      <c r="F27" s="147">
        <v>45288</v>
      </c>
      <c r="G27" s="136" t="s">
        <v>192</v>
      </c>
      <c r="H27" s="136" t="s">
        <v>191</v>
      </c>
      <c r="I27" s="137" t="s">
        <v>117</v>
      </c>
      <c r="J27" s="236"/>
      <c r="L27" s="140"/>
      <c r="M27" s="140"/>
    </row>
    <row r="28" spans="2:13" x14ac:dyDescent="0.3">
      <c r="B28" s="141" t="s">
        <v>204</v>
      </c>
      <c r="C28" s="142">
        <v>1914</v>
      </c>
      <c r="D28" s="142">
        <f t="shared" si="0"/>
        <v>1914</v>
      </c>
      <c r="E28" s="134" t="s">
        <v>200</v>
      </c>
      <c r="F28" s="143">
        <v>45042</v>
      </c>
      <c r="G28" s="134" t="s">
        <v>202</v>
      </c>
      <c r="H28" s="134" t="s">
        <v>159</v>
      </c>
      <c r="I28" s="138" t="s">
        <v>117</v>
      </c>
      <c r="J28" s="234">
        <f>SUM(D28:D33)</f>
        <v>20159</v>
      </c>
      <c r="L28" s="140"/>
    </row>
    <row r="29" spans="2:13" x14ac:dyDescent="0.3">
      <c r="B29" s="144" t="s">
        <v>204</v>
      </c>
      <c r="C29" s="59">
        <v>2046</v>
      </c>
      <c r="D29" s="59">
        <f t="shared" si="0"/>
        <v>2046</v>
      </c>
      <c r="E29" s="135" t="s">
        <v>200</v>
      </c>
      <c r="F29" s="145">
        <v>45042</v>
      </c>
      <c r="G29" s="135" t="s">
        <v>202</v>
      </c>
      <c r="H29" s="135" t="s">
        <v>159</v>
      </c>
      <c r="I29" s="139" t="s">
        <v>117</v>
      </c>
      <c r="J29" s="235"/>
    </row>
    <row r="30" spans="2:13" x14ac:dyDescent="0.3">
      <c r="B30" s="144" t="s">
        <v>204</v>
      </c>
      <c r="C30" s="59">
        <v>3165</v>
      </c>
      <c r="D30" s="59">
        <f t="shared" si="0"/>
        <v>3165</v>
      </c>
      <c r="E30" s="135" t="s">
        <v>200</v>
      </c>
      <c r="F30" s="145">
        <v>45042</v>
      </c>
      <c r="G30" s="135" t="s">
        <v>202</v>
      </c>
      <c r="H30" s="135" t="s">
        <v>159</v>
      </c>
      <c r="I30" s="139" t="s">
        <v>117</v>
      </c>
      <c r="J30" s="235"/>
    </row>
    <row r="31" spans="2:13" x14ac:dyDescent="0.3">
      <c r="B31" s="144" t="s">
        <v>204</v>
      </c>
      <c r="C31" s="59">
        <v>3408</v>
      </c>
      <c r="D31" s="59">
        <f t="shared" si="0"/>
        <v>3408</v>
      </c>
      <c r="E31" s="135" t="s">
        <v>200</v>
      </c>
      <c r="F31" s="145">
        <v>45042</v>
      </c>
      <c r="G31" s="135" t="s">
        <v>202</v>
      </c>
      <c r="H31" s="135" t="s">
        <v>159</v>
      </c>
      <c r="I31" s="139" t="s">
        <v>117</v>
      </c>
      <c r="J31" s="235"/>
    </row>
    <row r="32" spans="2:13" x14ac:dyDescent="0.3">
      <c r="B32" s="144" t="s">
        <v>204</v>
      </c>
      <c r="C32" s="59">
        <v>1620</v>
      </c>
      <c r="D32" s="59">
        <f t="shared" si="0"/>
        <v>1620</v>
      </c>
      <c r="E32" s="135" t="s">
        <v>200</v>
      </c>
      <c r="F32" s="145">
        <v>45237</v>
      </c>
      <c r="G32" s="135" t="s">
        <v>202</v>
      </c>
      <c r="H32" s="135" t="s">
        <v>159</v>
      </c>
      <c r="I32" s="139" t="s">
        <v>117</v>
      </c>
      <c r="J32" s="235"/>
    </row>
    <row r="33" spans="2:10" ht="15" thickBot="1" x14ac:dyDescent="0.35">
      <c r="B33" s="146" t="s">
        <v>204</v>
      </c>
      <c r="C33" s="65">
        <v>8006</v>
      </c>
      <c r="D33" s="65">
        <f t="shared" si="0"/>
        <v>8006</v>
      </c>
      <c r="E33" s="136" t="s">
        <v>200</v>
      </c>
      <c r="F33" s="147">
        <v>45289</v>
      </c>
      <c r="G33" s="136" t="s">
        <v>202</v>
      </c>
      <c r="H33" s="136" t="s">
        <v>159</v>
      </c>
      <c r="I33" s="137" t="s">
        <v>117</v>
      </c>
      <c r="J33" s="236"/>
    </row>
    <row r="34" spans="2:10" x14ac:dyDescent="0.3">
      <c r="C34" s="140"/>
      <c r="D34" s="140"/>
    </row>
    <row r="35" spans="2:10" x14ac:dyDescent="0.3">
      <c r="D35" s="140"/>
    </row>
  </sheetData>
  <mergeCells count="3">
    <mergeCell ref="J28:J33"/>
    <mergeCell ref="J22:J27"/>
    <mergeCell ref="J3:J2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4"/>
  <sheetViews>
    <sheetView workbookViewId="0"/>
  </sheetViews>
  <sheetFormatPr defaultColWidth="9.109375" defaultRowHeight="13.8" x14ac:dyDescent="0.3"/>
  <cols>
    <col min="1" max="1" width="9.109375" style="2"/>
    <col min="2" max="2" width="5.44140625" style="1" customWidth="1"/>
    <col min="3" max="3" width="50.109375" style="2" customWidth="1"/>
    <col min="4" max="4" width="16.5546875" style="2" bestFit="1" customWidth="1"/>
    <col min="5" max="5" width="100.77734375" style="2" customWidth="1"/>
    <col min="6" max="6" width="9.44140625" style="2" bestFit="1" customWidth="1"/>
    <col min="7" max="16384" width="9.109375" style="2"/>
  </cols>
  <sheetData>
    <row r="1" spans="2:5" ht="14.4" thickBot="1" x14ac:dyDescent="0.35"/>
    <row r="2" spans="2:5" ht="37.5" customHeight="1" thickBot="1" x14ac:dyDescent="0.35">
      <c r="B2" s="243" t="s">
        <v>119</v>
      </c>
      <c r="C2" s="244"/>
      <c r="D2" s="245"/>
      <c r="E2" s="82" t="s">
        <v>120</v>
      </c>
    </row>
    <row r="3" spans="2:5" ht="24" customHeight="1" x14ac:dyDescent="0.3">
      <c r="B3" s="246" t="s">
        <v>7</v>
      </c>
      <c r="C3" s="247"/>
      <c r="D3" s="83">
        <f>D4+D27+D28+D29+D32</f>
        <v>-50000</v>
      </c>
      <c r="E3" s="84"/>
    </row>
    <row r="4" spans="2:5" ht="21" customHeight="1" x14ac:dyDescent="0.3">
      <c r="B4" s="85" t="s">
        <v>1</v>
      </c>
      <c r="C4" s="86" t="s">
        <v>8</v>
      </c>
      <c r="D4" s="87">
        <f>SUM(D5:D26)</f>
        <v>-35000</v>
      </c>
      <c r="E4" s="88"/>
    </row>
    <row r="5" spans="2:5" ht="16.5" customHeight="1" x14ac:dyDescent="0.3">
      <c r="B5" s="128"/>
      <c r="C5" s="11" t="s">
        <v>29</v>
      </c>
      <c r="D5" s="90">
        <v>-1400</v>
      </c>
      <c r="E5" s="248" t="s">
        <v>121</v>
      </c>
    </row>
    <row r="6" spans="2:5" ht="16.5" customHeight="1" x14ac:dyDescent="0.3">
      <c r="B6" s="89"/>
      <c r="C6" s="91" t="s">
        <v>30</v>
      </c>
      <c r="D6" s="92">
        <v>-1400</v>
      </c>
      <c r="E6" s="249"/>
    </row>
    <row r="7" spans="2:5" ht="16.5" customHeight="1" x14ac:dyDescent="0.3">
      <c r="B7" s="89"/>
      <c r="C7" s="91" t="s">
        <v>31</v>
      </c>
      <c r="D7" s="92">
        <v>-1400</v>
      </c>
      <c r="E7" s="249"/>
    </row>
    <row r="8" spans="2:5" ht="16.5" customHeight="1" x14ac:dyDescent="0.3">
      <c r="B8" s="89"/>
      <c r="C8" s="91" t="s">
        <v>28</v>
      </c>
      <c r="D8" s="92">
        <v>-1400</v>
      </c>
      <c r="E8" s="249"/>
    </row>
    <row r="9" spans="2:5" ht="16.5" customHeight="1" x14ac:dyDescent="0.3">
      <c r="B9" s="89"/>
      <c r="C9" s="91" t="s">
        <v>32</v>
      </c>
      <c r="D9" s="92">
        <v>-1400</v>
      </c>
      <c r="E9" s="93"/>
    </row>
    <row r="10" spans="2:5" ht="16.5" customHeight="1" x14ac:dyDescent="0.3">
      <c r="B10" s="89"/>
      <c r="C10" s="91" t="s">
        <v>43</v>
      </c>
      <c r="D10" s="92">
        <v>-900</v>
      </c>
      <c r="E10" s="249" t="s">
        <v>122</v>
      </c>
    </row>
    <row r="11" spans="2:5" ht="16.5" customHeight="1" x14ac:dyDescent="0.3">
      <c r="B11" s="89"/>
      <c r="C11" s="91" t="s">
        <v>44</v>
      </c>
      <c r="D11" s="92">
        <v>-900</v>
      </c>
      <c r="E11" s="249"/>
    </row>
    <row r="12" spans="2:5" ht="16.5" customHeight="1" x14ac:dyDescent="0.3">
      <c r="B12" s="89"/>
      <c r="C12" s="91" t="s">
        <v>6</v>
      </c>
      <c r="D12" s="92">
        <v>-900</v>
      </c>
      <c r="E12" s="249"/>
    </row>
    <row r="13" spans="2:5" ht="16.5" customHeight="1" x14ac:dyDescent="0.3">
      <c r="B13" s="89"/>
      <c r="C13" s="91" t="s">
        <v>42</v>
      </c>
      <c r="D13" s="94">
        <v>-900</v>
      </c>
      <c r="E13" s="249"/>
    </row>
    <row r="14" spans="2:5" ht="16.5" customHeight="1" x14ac:dyDescent="0.3">
      <c r="B14" s="89"/>
      <c r="C14" s="91" t="s">
        <v>206</v>
      </c>
      <c r="D14" s="94">
        <f>-400-200-200</f>
        <v>-800</v>
      </c>
      <c r="E14" s="131" t="s">
        <v>205</v>
      </c>
    </row>
    <row r="15" spans="2:5" ht="16.5" customHeight="1" x14ac:dyDescent="0.3">
      <c r="B15" s="89"/>
      <c r="C15" s="91" t="s">
        <v>33</v>
      </c>
      <c r="D15" s="92">
        <v>-1400</v>
      </c>
      <c r="E15" s="250"/>
    </row>
    <row r="16" spans="2:5" ht="16.5" customHeight="1" x14ac:dyDescent="0.3">
      <c r="B16" s="89"/>
      <c r="C16" s="91" t="s">
        <v>34</v>
      </c>
      <c r="D16" s="92">
        <v>-1400</v>
      </c>
      <c r="E16" s="250"/>
    </row>
    <row r="17" spans="2:5" ht="16.5" customHeight="1" x14ac:dyDescent="0.3">
      <c r="B17" s="89"/>
      <c r="C17" s="91" t="s">
        <v>40</v>
      </c>
      <c r="D17" s="92">
        <v>-1400</v>
      </c>
      <c r="E17" s="97"/>
    </row>
    <row r="18" spans="2:5" ht="16.5" customHeight="1" x14ac:dyDescent="0.3">
      <c r="B18" s="89"/>
      <c r="C18" s="91" t="s">
        <v>41</v>
      </c>
      <c r="D18" s="92">
        <v>-2800</v>
      </c>
      <c r="E18" s="97"/>
    </row>
    <row r="19" spans="2:5" ht="16.5" customHeight="1" x14ac:dyDescent="0.3">
      <c r="B19" s="89"/>
      <c r="C19" s="91" t="s">
        <v>5</v>
      </c>
      <c r="D19" s="92">
        <v>-2000</v>
      </c>
      <c r="E19" s="97"/>
    </row>
    <row r="20" spans="2:5" ht="16.5" customHeight="1" x14ac:dyDescent="0.3">
      <c r="B20" s="89"/>
      <c r="C20" s="98" t="s">
        <v>9</v>
      </c>
      <c r="D20" s="92">
        <v>-800</v>
      </c>
      <c r="E20" s="250"/>
    </row>
    <row r="21" spans="2:5" ht="16.5" customHeight="1" x14ac:dyDescent="0.3">
      <c r="B21" s="89"/>
      <c r="C21" s="98" t="s">
        <v>10</v>
      </c>
      <c r="D21" s="92">
        <v>-2400</v>
      </c>
      <c r="E21" s="250"/>
    </row>
    <row r="22" spans="2:5" ht="16.5" customHeight="1" x14ac:dyDescent="0.3">
      <c r="B22" s="89"/>
      <c r="C22" s="98" t="s">
        <v>11</v>
      </c>
      <c r="D22" s="92">
        <v>-800</v>
      </c>
      <c r="E22" s="250"/>
    </row>
    <row r="23" spans="2:5" ht="16.5" customHeight="1" x14ac:dyDescent="0.3">
      <c r="B23" s="89"/>
      <c r="C23" s="91" t="s">
        <v>12</v>
      </c>
      <c r="D23" s="92">
        <v>-800</v>
      </c>
      <c r="E23" s="250"/>
    </row>
    <row r="24" spans="2:5" ht="16.5" customHeight="1" x14ac:dyDescent="0.3">
      <c r="B24" s="89"/>
      <c r="C24" s="91" t="s">
        <v>13</v>
      </c>
      <c r="D24" s="92">
        <v>-800</v>
      </c>
      <c r="E24" s="250"/>
    </row>
    <row r="25" spans="2:5" ht="16.5" customHeight="1" x14ac:dyDescent="0.3">
      <c r="B25" s="89"/>
      <c r="C25" s="91" t="s">
        <v>14</v>
      </c>
      <c r="D25" s="92">
        <v>-1600</v>
      </c>
      <c r="E25" s="97"/>
    </row>
    <row r="26" spans="2:5" ht="16.5" customHeight="1" x14ac:dyDescent="0.3">
      <c r="B26" s="129"/>
      <c r="C26" s="130" t="s">
        <v>15</v>
      </c>
      <c r="D26" s="95">
        <v>-7400</v>
      </c>
      <c r="E26" s="96"/>
    </row>
    <row r="27" spans="2:5" ht="21" customHeight="1" x14ac:dyDescent="0.3">
      <c r="B27" s="85" t="s">
        <v>2</v>
      </c>
      <c r="C27" s="86" t="s">
        <v>35</v>
      </c>
      <c r="D27" s="87">
        <f>'Doplněk k rozpočtu (KTCM) 2024'!C22</f>
        <v>-84000</v>
      </c>
      <c r="E27" s="99" t="s">
        <v>123</v>
      </c>
    </row>
    <row r="28" spans="2:5" ht="21" customHeight="1" x14ac:dyDescent="0.3">
      <c r="B28" s="85" t="s">
        <v>3</v>
      </c>
      <c r="C28" s="86" t="s">
        <v>21</v>
      </c>
      <c r="D28" s="87">
        <v>-11000</v>
      </c>
      <c r="E28" s="100" t="s">
        <v>124</v>
      </c>
    </row>
    <row r="29" spans="2:5" ht="21" customHeight="1" x14ac:dyDescent="0.3">
      <c r="B29" s="85" t="s">
        <v>22</v>
      </c>
      <c r="C29" s="86" t="s">
        <v>125</v>
      </c>
      <c r="D29" s="87">
        <f>SUM(D30:D31)</f>
        <v>80000</v>
      </c>
      <c r="E29" s="88"/>
    </row>
    <row r="30" spans="2:5" ht="16.5" customHeight="1" x14ac:dyDescent="0.3">
      <c r="B30" s="89"/>
      <c r="C30" s="91" t="s">
        <v>23</v>
      </c>
      <c r="D30" s="92">
        <v>60000</v>
      </c>
      <c r="E30" s="101" t="s">
        <v>126</v>
      </c>
    </row>
    <row r="31" spans="2:5" ht="16.5" customHeight="1" x14ac:dyDescent="0.3">
      <c r="B31" s="89"/>
      <c r="C31" s="98" t="s">
        <v>127</v>
      </c>
      <c r="D31" s="92">
        <v>20000</v>
      </c>
      <c r="E31" s="97" t="s">
        <v>208</v>
      </c>
    </row>
    <row r="32" spans="2:5" ht="21" customHeight="1" thickBot="1" x14ac:dyDescent="0.35">
      <c r="B32" s="102" t="s">
        <v>128</v>
      </c>
      <c r="C32" s="103" t="s">
        <v>129</v>
      </c>
      <c r="D32" s="104">
        <v>0</v>
      </c>
      <c r="E32" s="105" t="s">
        <v>130</v>
      </c>
    </row>
    <row r="33" spans="2:8" ht="15" customHeight="1" thickBot="1" x14ac:dyDescent="0.35">
      <c r="H33" s="3"/>
    </row>
    <row r="34" spans="2:8" ht="28.5" customHeight="1" thickBot="1" x14ac:dyDescent="0.35">
      <c r="B34" s="237" t="s">
        <v>207</v>
      </c>
      <c r="C34" s="238"/>
      <c r="D34" s="238"/>
      <c r="E34" s="239"/>
      <c r="H34" s="3"/>
    </row>
    <row r="35" spans="2:8" ht="38.4" customHeight="1" thickBot="1" x14ac:dyDescent="0.35">
      <c r="B35" s="240" t="s">
        <v>210</v>
      </c>
      <c r="C35" s="241"/>
      <c r="D35" s="241"/>
      <c r="E35" s="242"/>
      <c r="H35" s="3"/>
    </row>
    <row r="36" spans="2:8" ht="15" customHeight="1" x14ac:dyDescent="0.3">
      <c r="H36" s="3"/>
    </row>
    <row r="37" spans="2:8" s="4" customFormat="1" ht="15" customHeight="1" x14ac:dyDescent="0.3">
      <c r="B37" s="1"/>
      <c r="C37" s="2"/>
      <c r="D37" s="2"/>
      <c r="E37" s="2"/>
      <c r="F37" s="2"/>
      <c r="G37" s="2"/>
    </row>
    <row r="38" spans="2:8" ht="15" customHeight="1" x14ac:dyDescent="0.3"/>
    <row r="39" spans="2:8" ht="15" customHeight="1" x14ac:dyDescent="0.3"/>
    <row r="40" spans="2:8" s="4" customFormat="1" ht="15" customHeight="1" x14ac:dyDescent="0.3">
      <c r="B40" s="1"/>
      <c r="C40" s="2"/>
      <c r="D40" s="2"/>
      <c r="E40" s="2"/>
      <c r="F40" s="2"/>
      <c r="G40" s="2"/>
    </row>
    <row r="41" spans="2:8" ht="15" customHeight="1" x14ac:dyDescent="0.3"/>
    <row r="42" spans="2:8" ht="15" customHeight="1" x14ac:dyDescent="0.3"/>
    <row r="43" spans="2:8" ht="15" customHeight="1" x14ac:dyDescent="0.3"/>
    <row r="44" spans="2:8" ht="15" customHeight="1" x14ac:dyDescent="0.3"/>
    <row r="45" spans="2:8" ht="15" customHeight="1" x14ac:dyDescent="0.3"/>
    <row r="46" spans="2:8" s="4" customFormat="1" ht="15" customHeight="1" x14ac:dyDescent="0.3">
      <c r="B46" s="1"/>
      <c r="C46" s="2"/>
      <c r="D46" s="2"/>
      <c r="E46" s="2"/>
      <c r="F46" s="2"/>
      <c r="G46" s="2"/>
    </row>
    <row r="47" spans="2:8" ht="15" customHeight="1" x14ac:dyDescent="0.3"/>
    <row r="48" spans="2:8" ht="15" customHeight="1" x14ac:dyDescent="0.3"/>
    <row r="49" spans="2:9" ht="15" customHeight="1" x14ac:dyDescent="0.3"/>
    <row r="50" spans="2:9" ht="15" customHeight="1" x14ac:dyDescent="0.3"/>
    <row r="51" spans="2:9" s="4" customFormat="1" ht="15" customHeight="1" x14ac:dyDescent="0.3">
      <c r="B51" s="1"/>
      <c r="C51" s="2"/>
      <c r="D51" s="2"/>
      <c r="E51" s="2"/>
      <c r="F51" s="2"/>
      <c r="G51" s="2"/>
      <c r="I51" s="5"/>
    </row>
    <row r="52" spans="2:9" ht="15" customHeight="1" x14ac:dyDescent="0.3">
      <c r="I52" s="3"/>
    </row>
    <row r="53" spans="2:9" ht="15" customHeight="1" x14ac:dyDescent="0.3">
      <c r="I53" s="3"/>
    </row>
    <row r="54" spans="2:9" s="4" customFormat="1" ht="15" customHeight="1" x14ac:dyDescent="0.3">
      <c r="B54" s="1"/>
      <c r="C54" s="2"/>
      <c r="D54" s="2"/>
      <c r="E54" s="2"/>
      <c r="F54" s="2"/>
      <c r="G54" s="2"/>
      <c r="H54" s="5"/>
    </row>
    <row r="55" spans="2:9" ht="15" customHeight="1" x14ac:dyDescent="0.3"/>
    <row r="56" spans="2:9" ht="15" customHeight="1" x14ac:dyDescent="0.3"/>
    <row r="57" spans="2:9" ht="15" customHeight="1" x14ac:dyDescent="0.3"/>
    <row r="58" spans="2:9" ht="15" customHeight="1" x14ac:dyDescent="0.3"/>
    <row r="59" spans="2:9" ht="15" customHeight="1" x14ac:dyDescent="0.3"/>
    <row r="60" spans="2:9" ht="15" customHeight="1" x14ac:dyDescent="0.3"/>
    <row r="61" spans="2:9" ht="15" customHeight="1" x14ac:dyDescent="0.3"/>
    <row r="62" spans="2:9" ht="15" customHeight="1" x14ac:dyDescent="0.3"/>
    <row r="63" spans="2:9" ht="15" customHeight="1" x14ac:dyDescent="0.3"/>
    <row r="64" spans="2:9" ht="15" customHeight="1" x14ac:dyDescent="0.3"/>
    <row r="65" ht="15" customHeight="1" x14ac:dyDescent="0.3"/>
    <row r="66" ht="15" customHeight="1" x14ac:dyDescent="0.3"/>
    <row r="67" ht="15" customHeight="1" x14ac:dyDescent="0.3"/>
    <row r="68" ht="15" customHeight="1" x14ac:dyDescent="0.3"/>
    <row r="69" ht="15" customHeight="1" x14ac:dyDescent="0.3"/>
    <row r="70" ht="15" customHeight="1" x14ac:dyDescent="0.3"/>
    <row r="71" ht="9.75" customHeight="1" x14ac:dyDescent="0.3"/>
    <row r="72" ht="15" customHeight="1" x14ac:dyDescent="0.3"/>
    <row r="73" ht="15" customHeight="1" x14ac:dyDescent="0.3"/>
    <row r="74" ht="15" customHeight="1" x14ac:dyDescent="0.3"/>
  </sheetData>
  <mergeCells count="8">
    <mergeCell ref="B34:E34"/>
    <mergeCell ref="B35:E35"/>
    <mergeCell ref="B2:D2"/>
    <mergeCell ref="B3:C3"/>
    <mergeCell ref="E5:E8"/>
    <mergeCell ref="E10:E13"/>
    <mergeCell ref="E15:E16"/>
    <mergeCell ref="E20:E24"/>
  </mergeCells>
  <pageMargins left="0.7" right="0.7" top="0.78740157499999996" bottom="0.78740157499999996" header="0.3" footer="0.3"/>
  <pageSetup paperSize="9" orientation="portrait" verticalDpi="0" r:id="rId1"/>
  <ignoredErrors>
    <ignoredError sqref="D2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3.8" x14ac:dyDescent="0.3"/>
  <cols>
    <col min="1" max="1" width="1.88671875" style="106" customWidth="1"/>
    <col min="2" max="2" width="55.21875" style="107" customWidth="1"/>
    <col min="3" max="3" width="22" style="107" customWidth="1"/>
    <col min="4" max="4" width="123.109375" style="107" customWidth="1"/>
    <col min="5" max="5" width="11.109375" style="107" bestFit="1" customWidth="1"/>
    <col min="6" max="257" width="8.88671875" style="107"/>
    <col min="258" max="258" width="55" style="107" customWidth="1"/>
    <col min="259" max="259" width="22" style="107" customWidth="1"/>
    <col min="260" max="513" width="8.88671875" style="107"/>
    <col min="514" max="514" width="55" style="107" customWidth="1"/>
    <col min="515" max="515" width="22" style="107" customWidth="1"/>
    <col min="516" max="769" width="8.88671875" style="107"/>
    <col min="770" max="770" width="55" style="107" customWidth="1"/>
    <col min="771" max="771" width="22" style="107" customWidth="1"/>
    <col min="772" max="1025" width="8.88671875" style="107"/>
    <col min="1026" max="1026" width="55" style="107" customWidth="1"/>
    <col min="1027" max="1027" width="22" style="107" customWidth="1"/>
    <col min="1028" max="1281" width="8.88671875" style="107"/>
    <col min="1282" max="1282" width="55" style="107" customWidth="1"/>
    <col min="1283" max="1283" width="22" style="107" customWidth="1"/>
    <col min="1284" max="1537" width="8.88671875" style="107"/>
    <col min="1538" max="1538" width="55" style="107" customWidth="1"/>
    <col min="1539" max="1539" width="22" style="107" customWidth="1"/>
    <col min="1540" max="1793" width="8.88671875" style="107"/>
    <col min="1794" max="1794" width="55" style="107" customWidth="1"/>
    <col min="1795" max="1795" width="22" style="107" customWidth="1"/>
    <col min="1796" max="2049" width="8.88671875" style="107"/>
    <col min="2050" max="2050" width="55" style="107" customWidth="1"/>
    <col min="2051" max="2051" width="22" style="107" customWidth="1"/>
    <col min="2052" max="2305" width="8.88671875" style="107"/>
    <col min="2306" max="2306" width="55" style="107" customWidth="1"/>
    <col min="2307" max="2307" width="22" style="107" customWidth="1"/>
    <col min="2308" max="2561" width="8.88671875" style="107"/>
    <col min="2562" max="2562" width="55" style="107" customWidth="1"/>
    <col min="2563" max="2563" width="22" style="107" customWidth="1"/>
    <col min="2564" max="2817" width="8.88671875" style="107"/>
    <col min="2818" max="2818" width="55" style="107" customWidth="1"/>
    <col min="2819" max="2819" width="22" style="107" customWidth="1"/>
    <col min="2820" max="3073" width="8.88671875" style="107"/>
    <col min="3074" max="3074" width="55" style="107" customWidth="1"/>
    <col min="3075" max="3075" width="22" style="107" customWidth="1"/>
    <col min="3076" max="3329" width="8.88671875" style="107"/>
    <col min="3330" max="3330" width="55" style="107" customWidth="1"/>
    <col min="3331" max="3331" width="22" style="107" customWidth="1"/>
    <col min="3332" max="3585" width="8.88671875" style="107"/>
    <col min="3586" max="3586" width="55" style="107" customWidth="1"/>
    <col min="3587" max="3587" width="22" style="107" customWidth="1"/>
    <col min="3588" max="3841" width="8.88671875" style="107"/>
    <col min="3842" max="3842" width="55" style="107" customWidth="1"/>
    <col min="3843" max="3843" width="22" style="107" customWidth="1"/>
    <col min="3844" max="4097" width="8.88671875" style="107"/>
    <col min="4098" max="4098" width="55" style="107" customWidth="1"/>
    <col min="4099" max="4099" width="22" style="107" customWidth="1"/>
    <col min="4100" max="4353" width="8.88671875" style="107"/>
    <col min="4354" max="4354" width="55" style="107" customWidth="1"/>
    <col min="4355" max="4355" width="22" style="107" customWidth="1"/>
    <col min="4356" max="4609" width="8.88671875" style="107"/>
    <col min="4610" max="4610" width="55" style="107" customWidth="1"/>
    <col min="4611" max="4611" width="22" style="107" customWidth="1"/>
    <col min="4612" max="4865" width="8.88671875" style="107"/>
    <col min="4866" max="4866" width="55" style="107" customWidth="1"/>
    <col min="4867" max="4867" width="22" style="107" customWidth="1"/>
    <col min="4868" max="5121" width="8.88671875" style="107"/>
    <col min="5122" max="5122" width="55" style="107" customWidth="1"/>
    <col min="5123" max="5123" width="22" style="107" customWidth="1"/>
    <col min="5124" max="5377" width="8.88671875" style="107"/>
    <col min="5378" max="5378" width="55" style="107" customWidth="1"/>
    <col min="5379" max="5379" width="22" style="107" customWidth="1"/>
    <col min="5380" max="5633" width="8.88671875" style="107"/>
    <col min="5634" max="5634" width="55" style="107" customWidth="1"/>
    <col min="5635" max="5635" width="22" style="107" customWidth="1"/>
    <col min="5636" max="5889" width="8.88671875" style="107"/>
    <col min="5890" max="5890" width="55" style="107" customWidth="1"/>
    <col min="5891" max="5891" width="22" style="107" customWidth="1"/>
    <col min="5892" max="6145" width="8.88671875" style="107"/>
    <col min="6146" max="6146" width="55" style="107" customWidth="1"/>
    <col min="6147" max="6147" width="22" style="107" customWidth="1"/>
    <col min="6148" max="6401" width="8.88671875" style="107"/>
    <col min="6402" max="6402" width="55" style="107" customWidth="1"/>
    <col min="6403" max="6403" width="22" style="107" customWidth="1"/>
    <col min="6404" max="6657" width="8.88671875" style="107"/>
    <col min="6658" max="6658" width="55" style="107" customWidth="1"/>
    <col min="6659" max="6659" width="22" style="107" customWidth="1"/>
    <col min="6660" max="6913" width="8.88671875" style="107"/>
    <col min="6914" max="6914" width="55" style="107" customWidth="1"/>
    <col min="6915" max="6915" width="22" style="107" customWidth="1"/>
    <col min="6916" max="7169" width="8.88671875" style="107"/>
    <col min="7170" max="7170" width="55" style="107" customWidth="1"/>
    <col min="7171" max="7171" width="22" style="107" customWidth="1"/>
    <col min="7172" max="7425" width="8.88671875" style="107"/>
    <col min="7426" max="7426" width="55" style="107" customWidth="1"/>
    <col min="7427" max="7427" width="22" style="107" customWidth="1"/>
    <col min="7428" max="7681" width="8.88671875" style="107"/>
    <col min="7682" max="7682" width="55" style="107" customWidth="1"/>
    <col min="7683" max="7683" width="22" style="107" customWidth="1"/>
    <col min="7684" max="7937" width="8.88671875" style="107"/>
    <col min="7938" max="7938" width="55" style="107" customWidth="1"/>
    <col min="7939" max="7939" width="22" style="107" customWidth="1"/>
    <col min="7940" max="8193" width="8.88671875" style="107"/>
    <col min="8194" max="8194" width="55" style="107" customWidth="1"/>
    <col min="8195" max="8195" width="22" style="107" customWidth="1"/>
    <col min="8196" max="8449" width="8.88671875" style="107"/>
    <col min="8450" max="8450" width="55" style="107" customWidth="1"/>
    <col min="8451" max="8451" width="22" style="107" customWidth="1"/>
    <col min="8452" max="8705" width="8.88671875" style="107"/>
    <col min="8706" max="8706" width="55" style="107" customWidth="1"/>
    <col min="8707" max="8707" width="22" style="107" customWidth="1"/>
    <col min="8708" max="8961" width="8.88671875" style="107"/>
    <col min="8962" max="8962" width="55" style="107" customWidth="1"/>
    <col min="8963" max="8963" width="22" style="107" customWidth="1"/>
    <col min="8964" max="9217" width="8.88671875" style="107"/>
    <col min="9218" max="9218" width="55" style="107" customWidth="1"/>
    <col min="9219" max="9219" width="22" style="107" customWidth="1"/>
    <col min="9220" max="9473" width="8.88671875" style="107"/>
    <col min="9474" max="9474" width="55" style="107" customWidth="1"/>
    <col min="9475" max="9475" width="22" style="107" customWidth="1"/>
    <col min="9476" max="9729" width="8.88671875" style="107"/>
    <col min="9730" max="9730" width="55" style="107" customWidth="1"/>
    <col min="9731" max="9731" width="22" style="107" customWidth="1"/>
    <col min="9732" max="9985" width="8.88671875" style="107"/>
    <col min="9986" max="9986" width="55" style="107" customWidth="1"/>
    <col min="9987" max="9987" width="22" style="107" customWidth="1"/>
    <col min="9988" max="10241" width="8.88671875" style="107"/>
    <col min="10242" max="10242" width="55" style="107" customWidth="1"/>
    <col min="10243" max="10243" width="22" style="107" customWidth="1"/>
    <col min="10244" max="10497" width="8.88671875" style="107"/>
    <col min="10498" max="10498" width="55" style="107" customWidth="1"/>
    <col min="10499" max="10499" width="22" style="107" customWidth="1"/>
    <col min="10500" max="10753" width="8.88671875" style="107"/>
    <col min="10754" max="10754" width="55" style="107" customWidth="1"/>
    <col min="10755" max="10755" width="22" style="107" customWidth="1"/>
    <col min="10756" max="11009" width="8.88671875" style="107"/>
    <col min="11010" max="11010" width="55" style="107" customWidth="1"/>
    <col min="11011" max="11011" width="22" style="107" customWidth="1"/>
    <col min="11012" max="11265" width="8.88671875" style="107"/>
    <col min="11266" max="11266" width="55" style="107" customWidth="1"/>
    <col min="11267" max="11267" width="22" style="107" customWidth="1"/>
    <col min="11268" max="11521" width="8.88671875" style="107"/>
    <col min="11522" max="11522" width="55" style="107" customWidth="1"/>
    <col min="11523" max="11523" width="22" style="107" customWidth="1"/>
    <col min="11524" max="11777" width="8.88671875" style="107"/>
    <col min="11778" max="11778" width="55" style="107" customWidth="1"/>
    <col min="11779" max="11779" width="22" style="107" customWidth="1"/>
    <col min="11780" max="12033" width="8.88671875" style="107"/>
    <col min="12034" max="12034" width="55" style="107" customWidth="1"/>
    <col min="12035" max="12035" width="22" style="107" customWidth="1"/>
    <col min="12036" max="12289" width="8.88671875" style="107"/>
    <col min="12290" max="12290" width="55" style="107" customWidth="1"/>
    <col min="12291" max="12291" width="22" style="107" customWidth="1"/>
    <col min="12292" max="12545" width="8.88671875" style="107"/>
    <col min="12546" max="12546" width="55" style="107" customWidth="1"/>
    <col min="12547" max="12547" width="22" style="107" customWidth="1"/>
    <col min="12548" max="12801" width="8.88671875" style="107"/>
    <col min="12802" max="12802" width="55" style="107" customWidth="1"/>
    <col min="12803" max="12803" width="22" style="107" customWidth="1"/>
    <col min="12804" max="13057" width="8.88671875" style="107"/>
    <col min="13058" max="13058" width="55" style="107" customWidth="1"/>
    <col min="13059" max="13059" width="22" style="107" customWidth="1"/>
    <col min="13060" max="13313" width="8.88671875" style="107"/>
    <col min="13314" max="13314" width="55" style="107" customWidth="1"/>
    <col min="13315" max="13315" width="22" style="107" customWidth="1"/>
    <col min="13316" max="13569" width="8.88671875" style="107"/>
    <col min="13570" max="13570" width="55" style="107" customWidth="1"/>
    <col min="13571" max="13571" width="22" style="107" customWidth="1"/>
    <col min="13572" max="13825" width="8.88671875" style="107"/>
    <col min="13826" max="13826" width="55" style="107" customWidth="1"/>
    <col min="13827" max="13827" width="22" style="107" customWidth="1"/>
    <col min="13828" max="14081" width="8.88671875" style="107"/>
    <col min="14082" max="14082" width="55" style="107" customWidth="1"/>
    <col min="14083" max="14083" width="22" style="107" customWidth="1"/>
    <col min="14084" max="14337" width="8.88671875" style="107"/>
    <col min="14338" max="14338" width="55" style="107" customWidth="1"/>
    <col min="14339" max="14339" width="22" style="107" customWidth="1"/>
    <col min="14340" max="14593" width="8.88671875" style="107"/>
    <col min="14594" max="14594" width="55" style="107" customWidth="1"/>
    <col min="14595" max="14595" width="22" style="107" customWidth="1"/>
    <col min="14596" max="14849" width="8.88671875" style="107"/>
    <col min="14850" max="14850" width="55" style="107" customWidth="1"/>
    <col min="14851" max="14851" width="22" style="107" customWidth="1"/>
    <col min="14852" max="15105" width="8.88671875" style="107"/>
    <col min="15106" max="15106" width="55" style="107" customWidth="1"/>
    <col min="15107" max="15107" width="22" style="107" customWidth="1"/>
    <col min="15108" max="15361" width="8.88671875" style="107"/>
    <col min="15362" max="15362" width="55" style="107" customWidth="1"/>
    <col min="15363" max="15363" width="22" style="107" customWidth="1"/>
    <col min="15364" max="15617" width="8.88671875" style="107"/>
    <col min="15618" max="15618" width="55" style="107" customWidth="1"/>
    <col min="15619" max="15619" width="22" style="107" customWidth="1"/>
    <col min="15620" max="15873" width="8.88671875" style="107"/>
    <col min="15874" max="15874" width="55" style="107" customWidth="1"/>
    <col min="15875" max="15875" width="22" style="107" customWidth="1"/>
    <col min="15876" max="16129" width="8.88671875" style="107"/>
    <col min="16130" max="16130" width="55" style="107" customWidth="1"/>
    <col min="16131" max="16131" width="22" style="107" customWidth="1"/>
    <col min="16132" max="16384" width="8.88671875" style="107"/>
  </cols>
  <sheetData>
    <row r="1" spans="2:5" ht="14.4" thickBot="1" x14ac:dyDescent="0.35"/>
    <row r="2" spans="2:5" ht="21.6" thickBot="1" x14ac:dyDescent="0.35">
      <c r="B2" s="251" t="s">
        <v>156</v>
      </c>
      <c r="C2" s="252"/>
      <c r="D2" s="253"/>
    </row>
    <row r="3" spans="2:5" ht="15.6" x14ac:dyDescent="0.3">
      <c r="B3" s="108" t="s">
        <v>131</v>
      </c>
      <c r="C3" s="109">
        <f>SUM(C4:C8)</f>
        <v>-27000</v>
      </c>
      <c r="D3" s="110" t="s">
        <v>132</v>
      </c>
    </row>
    <row r="4" spans="2:5" x14ac:dyDescent="0.3">
      <c r="B4" s="111" t="s">
        <v>16</v>
      </c>
      <c r="C4" s="112">
        <f>-2*650*4</f>
        <v>-5200</v>
      </c>
      <c r="D4" s="113" t="s">
        <v>133</v>
      </c>
      <c r="E4" s="114"/>
    </row>
    <row r="5" spans="2:5" x14ac:dyDescent="0.3">
      <c r="B5" s="111" t="s">
        <v>134</v>
      </c>
      <c r="C5" s="112">
        <f>-(500+450+350)*5*4</f>
        <v>-26000</v>
      </c>
      <c r="D5" s="115" t="s">
        <v>135</v>
      </c>
    </row>
    <row r="6" spans="2:5" x14ac:dyDescent="0.3">
      <c r="B6" s="111" t="s">
        <v>18</v>
      </c>
      <c r="C6" s="112">
        <f>-4.5*2*50*4</f>
        <v>-1800</v>
      </c>
      <c r="D6" s="113" t="s">
        <v>136</v>
      </c>
    </row>
    <row r="7" spans="2:5" x14ac:dyDescent="0.3">
      <c r="B7" s="111" t="s">
        <v>36</v>
      </c>
      <c r="C7" s="112">
        <v>0</v>
      </c>
      <c r="D7" s="113" t="s">
        <v>137</v>
      </c>
    </row>
    <row r="8" spans="2:5" x14ac:dyDescent="0.3">
      <c r="B8" s="111" t="s">
        <v>20</v>
      </c>
      <c r="C8" s="112">
        <f>300*20</f>
        <v>6000</v>
      </c>
      <c r="D8" s="113" t="s">
        <v>138</v>
      </c>
    </row>
    <row r="9" spans="2:5" ht="15.6" x14ac:dyDescent="0.3">
      <c r="B9" s="116" t="s">
        <v>139</v>
      </c>
      <c r="C9" s="117">
        <f>SUM(C10:C14)</f>
        <v>-42000</v>
      </c>
      <c r="D9" s="118" t="s">
        <v>140</v>
      </c>
    </row>
    <row r="10" spans="2:5" x14ac:dyDescent="0.3">
      <c r="B10" s="111" t="s">
        <v>16</v>
      </c>
      <c r="C10" s="112">
        <f>-1000*4*2</f>
        <v>-8000</v>
      </c>
      <c r="D10" s="119" t="s">
        <v>141</v>
      </c>
    </row>
    <row r="11" spans="2:5" x14ac:dyDescent="0.3">
      <c r="B11" s="111" t="s">
        <v>134</v>
      </c>
      <c r="C11" s="112">
        <f>-(500+450+350+250)*9*2</f>
        <v>-27900</v>
      </c>
      <c r="D11" s="115" t="s">
        <v>142</v>
      </c>
    </row>
    <row r="12" spans="2:5" x14ac:dyDescent="0.3">
      <c r="B12" s="111" t="s">
        <v>18</v>
      </c>
      <c r="C12" s="112">
        <f>-4.5*(50+100+100+0)*2*2</f>
        <v>-4500</v>
      </c>
      <c r="D12" s="119" t="s">
        <v>143</v>
      </c>
    </row>
    <row r="13" spans="2:5" x14ac:dyDescent="0.3">
      <c r="B13" s="111" t="s">
        <v>36</v>
      </c>
      <c r="C13" s="112">
        <f>-(300+300)*4*2*2</f>
        <v>-9600</v>
      </c>
      <c r="D13" s="119" t="s">
        <v>144</v>
      </c>
    </row>
    <row r="14" spans="2:5" x14ac:dyDescent="0.3">
      <c r="B14" s="111" t="s">
        <v>20</v>
      </c>
      <c r="C14" s="112">
        <f>(100*10+10*300)*2</f>
        <v>8000</v>
      </c>
      <c r="D14" s="120" t="s">
        <v>145</v>
      </c>
    </row>
    <row r="15" spans="2:5" ht="15.6" x14ac:dyDescent="0.3">
      <c r="B15" s="116" t="s">
        <v>146</v>
      </c>
      <c r="C15" s="117">
        <f>SUM(C16:C16)</f>
        <v>-6000</v>
      </c>
      <c r="D15" s="121" t="s">
        <v>147</v>
      </c>
      <c r="E15" s="114"/>
    </row>
    <row r="16" spans="2:5" x14ac:dyDescent="0.3">
      <c r="B16" s="111" t="s">
        <v>16</v>
      </c>
      <c r="C16" s="112">
        <f>-2*3000</f>
        <v>-6000</v>
      </c>
      <c r="D16" s="115" t="s">
        <v>148</v>
      </c>
    </row>
    <row r="17" spans="2:5" ht="15.6" x14ac:dyDescent="0.3">
      <c r="B17" s="116" t="s">
        <v>149</v>
      </c>
      <c r="C17" s="117">
        <f>SUM(C18:C18)</f>
        <v>-3000</v>
      </c>
      <c r="D17" s="118" t="s">
        <v>147</v>
      </c>
      <c r="E17" s="114"/>
    </row>
    <row r="18" spans="2:5" x14ac:dyDescent="0.3">
      <c r="B18" s="111" t="s">
        <v>16</v>
      </c>
      <c r="C18" s="112">
        <f>-3*1000</f>
        <v>-3000</v>
      </c>
      <c r="D18" s="115" t="s">
        <v>150</v>
      </c>
    </row>
    <row r="19" spans="2:5" ht="15.6" x14ac:dyDescent="0.3">
      <c r="B19" s="122" t="s">
        <v>151</v>
      </c>
      <c r="C19" s="117">
        <f>SUM(C20:C21)</f>
        <v>-6000</v>
      </c>
      <c r="D19" s="121"/>
      <c r="E19" s="114"/>
    </row>
    <row r="20" spans="2:5" x14ac:dyDescent="0.3">
      <c r="B20" s="123" t="s">
        <v>152</v>
      </c>
      <c r="C20" s="112">
        <v>-5000</v>
      </c>
      <c r="D20" s="115" t="s">
        <v>153</v>
      </c>
    </row>
    <row r="21" spans="2:5" ht="14.4" thickBot="1" x14ac:dyDescent="0.35">
      <c r="B21" s="123" t="s">
        <v>154</v>
      </c>
      <c r="C21" s="112">
        <v>-1000</v>
      </c>
      <c r="D21" s="115"/>
    </row>
    <row r="22" spans="2:5" ht="16.2" thickBot="1" x14ac:dyDescent="0.35">
      <c r="B22" s="124" t="s">
        <v>155</v>
      </c>
      <c r="C22" s="125">
        <f>C3+C9+C15+C17+C19</f>
        <v>-84000</v>
      </c>
      <c r="D22" s="126"/>
    </row>
    <row r="23" spans="2:5" x14ac:dyDescent="0.3">
      <c r="C23" s="127"/>
    </row>
  </sheetData>
  <mergeCells count="1">
    <mergeCell ref="B2:D2"/>
  </mergeCells>
  <pageMargins left="0.7" right="0.7" top="0.78740157499999996" bottom="0.78740157499999996" header="0.3" footer="0.3"/>
  <ignoredErrors>
    <ignoredError sqref="C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Plán vs. Realita 2023</vt:lpstr>
      <vt:lpstr>KTCM 2023</vt:lpstr>
      <vt:lpstr>online přednášky+sport+MV</vt:lpstr>
      <vt:lpstr>Rozpočet 2024</vt:lpstr>
      <vt:lpstr>Doplněk k rozpočtu (KTCM) 2024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Kopřiva</dc:creator>
  <cp:lastModifiedBy>Martin Kopřiva</cp:lastModifiedBy>
  <dcterms:created xsi:type="dcterms:W3CDTF">2021-09-23T11:04:17Z</dcterms:created>
  <dcterms:modified xsi:type="dcterms:W3CDTF">2023-12-31T11:57:45Z</dcterms:modified>
</cp:coreProperties>
</file>